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NET1.cec.eu.int\homes\102\marijda\My Documents\NTS_RA_draft_specification_and_templates\NTS_RA_draft_specification_and_templates_2\"/>
    </mc:Choice>
  </mc:AlternateContent>
  <bookViews>
    <workbookView xWindow="-98" yWindow="-98" windowWidth="15630" windowHeight="5273"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<sst xmlns="http://schemas.openxmlformats.org/spreadsheetml/2006/main" count="5246" uniqueCount="4952">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</sst>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defaultColWidth="9.06640625" defaultRowHeight="14.25" x14ac:dyDescent="0.45"/>
  <cols>
    <col min="1" max="1" width="13.19921875" style="3" hidden="1" customWidth="1"/>
    <col min="2" max="2" width="16.265625" style="4" hidden="1" customWidth="1"/>
    <col min="3" max="3" width="49.33203125" style="11" customWidth="1"/>
    <col min="4" max="4" width="12.06640625" style="14" customWidth="1"/>
    <col min="5" max="5" width="29.6640625" style="12" customWidth="1"/>
    <col min="6" max="6" width="15.19921875" style="2" customWidth="1"/>
    <col min="7" max="7" width="2.19921875" style="10" customWidth="1"/>
    <col min="8" max="8" width="55.19921875" style="47" customWidth="1"/>
    <col min="9" max="9" width="75.265625" style="30" customWidth="1"/>
    <col min="10" max="16384" width="9.06640625" style="2"/>
  </cols>
  <sheetData>
    <row r="1" spans="1:9" ht="23.25" x14ac:dyDescent="0.45">
      <c r="A1" s="3" t="s">
        <v>7</v>
      </c>
      <c r="B1" s="4" t="s">
        <v>7</v>
      </c>
      <c r="C1" s="123" t="str">
        <f>UPPER(NTS_title)</f>
        <v>NON-TECHNICAL PROJECT SUMMARY</v>
      </c>
      <c r="D1" s="123"/>
      <c r="E1" s="123"/>
      <c r="F1" s="123"/>
      <c r="G1" s="32" t="s">
        <v>6</v>
      </c>
      <c r="H1" s="29"/>
    </row>
    <row r="2" spans="1:9" ht="16.05" customHeight="1" x14ac:dyDescent="0.45">
      <c r="A2" s="5" t="s">
        <v>152</v>
      </c>
      <c r="B2" s="7" t="str">
        <f>IF(TRIM(D2)="","",UPPER(D2))</f>
        <v/>
      </c>
      <c r="C2" s="11" t="str">
        <f>country_label</f>
        <v>Country</v>
      </c>
      <c r="D2" s="17"/>
      <c r="E2" s="126"/>
      <c r="F2" s="127"/>
      <c r="G2" s="74" t="s">
        <v>550</v>
      </c>
      <c r="H2" s="29"/>
      <c r="I2" s="30" t="str">
        <f>compulsory_field_tinstr&amp;" "</f>
        <v xml:space="preserve">Compulsory! </v>
      </c>
    </row>
    <row r="3" spans="1:9" ht="16.05" customHeight="1" x14ac:dyDescent="0.45">
      <c r="A3" s="5" t="s">
        <v>153</v>
      </c>
      <c r="B3" s="7" t="str">
        <f>IF(TRIM(D3)="","",LOWER(D3))</f>
        <v/>
      </c>
      <c r="C3" s="11" t="str">
        <f>language_label</f>
        <v>Language</v>
      </c>
      <c r="D3" s="18"/>
      <c r="E3" s="126"/>
      <c r="F3" s="127"/>
      <c r="G3" s="74" t="s">
        <v>550</v>
      </c>
      <c r="H3" s="29"/>
      <c r="I3" s="30" t="str">
        <f>compulsory_field_tinstr&amp;" "</f>
        <v xml:space="preserve">Compulsory! </v>
      </c>
    </row>
    <row r="4" spans="1:9" s="69" customFormat="1" ht="15" customHeight="1" x14ac:dyDescent="0.45">
      <c r="A4" s="5" t="s">
        <v>509</v>
      </c>
      <c r="B4" s="4" t="str">
        <f>IF(TRIM(D4)="","",VALUE(MID(D4,SEARCH("[", D4)+1,SEARCH("]",D4)-SEARCH("[",D4)-1)))</f>
        <v/>
      </c>
      <c r="C4" s="68" t="str">
        <f>euSubmission_label</f>
        <v>EU submission</v>
      </c>
      <c r="D4" s="67"/>
      <c r="E4" s="128"/>
      <c r="F4" s="129"/>
      <c r="G4" s="74" t="s">
        <v>550</v>
      </c>
      <c r="H4" s="29"/>
      <c r="I4" s="30" t="str">
        <f>compulsory_field_tinstr&amp;" "&amp;" "&amp;not_published_instr&amp;" "&amp;euSubmission_instr</f>
        <v>Compulsory!  Field will not be published. Indicate if project is falling inside the scope of the Directive or not.</v>
      </c>
    </row>
    <row r="5" spans="1:9" x14ac:dyDescent="0.45">
      <c r="A5" s="5" t="s">
        <v>154</v>
      </c>
      <c r="B5" s="7" t="str">
        <f>IF(TRIM(D5)="","",D5)</f>
        <v/>
      </c>
      <c r="C5" s="11" t="str">
        <f>projectTitle_label</f>
        <v>Title of the project</v>
      </c>
      <c r="D5" s="120"/>
      <c r="E5" s="120"/>
      <c r="F5" s="120"/>
      <c r="G5" s="74" t="s">
        <v>550</v>
      </c>
      <c r="I5" s="30" t="str">
        <f>compulsory_field_tinstr&amp;" "&amp;maxLength_500_tinstr</f>
        <v>Compulsory! Maximum length is 500 characters.</v>
      </c>
    </row>
    <row r="6" spans="1:9" s="69" customFormat="1" x14ac:dyDescent="0.45">
      <c r="A6" s="5" t="s">
        <v>538</v>
      </c>
      <c r="B6" s="7" t="str">
        <f>IF(TRIM(D6)="","",D6)</f>
        <v/>
      </c>
      <c r="C6" s="68" t="str">
        <f>ntsId_label</f>
        <v>NTS identifier</v>
      </c>
      <c r="D6" s="130"/>
      <c r="E6" s="131"/>
      <c r="F6" s="65"/>
      <c r="G6" s="66"/>
      <c r="H6" s="35"/>
      <c r="I6" s="30" t="str">
        <f>ntsId_instr&amp;" "&amp;ntsId_tinstr</f>
        <v>Unique NTS identifier assigned by the central EC system. To be filled-in only when updating NTS already stored in the EC system.</v>
      </c>
    </row>
    <row r="7" spans="1:9" ht="31.9" customHeight="1" x14ac:dyDescent="0.45">
      <c r="A7" s="5" t="s">
        <v>511</v>
      </c>
      <c r="B7" s="15" t="str">
        <f>IF(TRIM(D7)="","",D7)</f>
        <v/>
      </c>
      <c r="C7" s="107" t="str">
        <f>ntsNationalId_label</f>
        <v>NTS national identifier</v>
      </c>
      <c r="D7" s="113"/>
      <c r="E7" s="113"/>
      <c r="F7" s="113"/>
      <c r="H7" s="35"/>
      <c r="I7" s="30" t="str">
        <f>not_published_instr&amp;" "&amp;ntsNationalId_instr&amp;" "&amp;maxLength_500_tinstr</f>
        <v>Field will not be published. National identifier of the NTS. Maximum length is 500 characters.</v>
      </c>
    </row>
    <row r="8" spans="1:9" ht="15" customHeight="1" x14ac:dyDescent="0.45">
      <c r="A8" s="5" t="s">
        <v>155</v>
      </c>
      <c r="B8" s="4" t="str">
        <f>IF(TRIM(D8)="","",D8)</f>
        <v/>
      </c>
      <c r="C8" s="11" t="str">
        <f>projectDuration_label</f>
        <v>Duration of the project</v>
      </c>
      <c r="D8" s="18"/>
      <c r="E8" s="124" t="str">
        <f>duration_unit_label</f>
        <v>(in months)</v>
      </c>
      <c r="F8" s="125"/>
      <c r="G8" s="74" t="s">
        <v>550</v>
      </c>
      <c r="H8" s="35"/>
      <c r="I8" s="30" t="str">
        <f>compulsory_field_tinstr&amp;" "&amp;projectDuration_instr&amp;" "&amp;projectDuration_tinstr</f>
        <v>Compulsory! Project duration expressed in months. Must be a whole number between 1 and 60!</v>
      </c>
    </row>
    <row r="9" spans="1:9" x14ac:dyDescent="0.45">
      <c r="A9" s="5" t="s">
        <v>514</v>
      </c>
      <c r="B9" s="4" t="s">
        <v>156</v>
      </c>
      <c r="C9" s="138" t="str">
        <f>keywords_label</f>
        <v>Keywords</v>
      </c>
      <c r="D9" s="138"/>
      <c r="E9" s="138"/>
      <c r="F9" s="142"/>
      <c r="G9" s="74" t="s">
        <v>550</v>
      </c>
      <c r="I9" s="30" t="str">
        <f>compulsory_field_tinstr&amp;" "&amp;at_least_one_keyword_mssg</f>
        <v>Compulsory! At least one keyword must be entered!</v>
      </c>
    </row>
    <row r="10" spans="1:9" x14ac:dyDescent="0.45">
      <c r="A10" s="5"/>
      <c r="B10" s="7" t="str">
        <f t="shared" ref="B10:B14" si="0">IF(TRIM(D10)="","",D10)</f>
        <v/>
      </c>
      <c r="C10" s="20" t="str">
        <f>keyword_label &amp; " " &amp; 1</f>
        <v>Keyword 1</v>
      </c>
      <c r="D10" s="120"/>
      <c r="E10" s="120"/>
      <c r="F10" s="120"/>
      <c r="I10" s="30" t="str">
        <f>maxLength_50_tinstr&amp;" "&amp;keyword_tinstr</f>
        <v>Maximum length is 50 characters including spaces. May consist of more than one word.</v>
      </c>
    </row>
    <row r="11" spans="1:9" x14ac:dyDescent="0.45">
      <c r="A11" s="5"/>
      <c r="B11" s="7" t="str">
        <f t="shared" si="0"/>
        <v/>
      </c>
      <c r="C11" s="20" t="str">
        <f>keyword_label &amp; " " &amp; 2</f>
        <v>Keyword 2</v>
      </c>
      <c r="D11" s="113"/>
      <c r="E11" s="113"/>
      <c r="F11" s="113"/>
      <c r="I11" s="30" t="str">
        <f>maxLength_50_tinstr&amp;" "&amp;keyword_tinstr</f>
        <v>Maximum length is 50 characters including spaces. May consist of more than one word.</v>
      </c>
    </row>
    <row r="12" spans="1:9" x14ac:dyDescent="0.45">
      <c r="A12" s="5"/>
      <c r="B12" s="7" t="str">
        <f t="shared" si="0"/>
        <v/>
      </c>
      <c r="C12" s="20" t="str">
        <f>keyword_label &amp; " " &amp; 3</f>
        <v>Keyword 3</v>
      </c>
      <c r="D12" s="113"/>
      <c r="E12" s="113"/>
      <c r="F12" s="113"/>
      <c r="I12" s="30" t="str">
        <f>maxLength_50_tinstr&amp;" "&amp;keyword_tinstr</f>
        <v>Maximum length is 50 characters including spaces. May consist of more than one word.</v>
      </c>
    </row>
    <row r="13" spans="1:9" x14ac:dyDescent="0.45">
      <c r="A13" s="5"/>
      <c r="B13" s="7" t="str">
        <f t="shared" si="0"/>
        <v/>
      </c>
      <c r="C13" s="20" t="str">
        <f>keyword_label &amp; " " &amp; 4</f>
        <v>Keyword 4</v>
      </c>
      <c r="D13" s="133"/>
      <c r="E13" s="133"/>
      <c r="F13" s="133"/>
      <c r="I13" s="30" t="str">
        <f>maxLength_50_tinstr&amp;" "&amp;keyword_tinstr</f>
        <v>Maximum length is 50 characters including spaces. May consist of more than one word.</v>
      </c>
    </row>
    <row r="14" spans="1:9" x14ac:dyDescent="0.45">
      <c r="A14" s="5"/>
      <c r="B14" s="7" t="str">
        <f t="shared" si="0"/>
        <v/>
      </c>
      <c r="C14" s="20" t="str">
        <f>keyword_label &amp; " " &amp; 5</f>
        <v>Keyword 5</v>
      </c>
      <c r="D14" s="113"/>
      <c r="E14" s="113"/>
      <c r="F14" s="113"/>
      <c r="G14" s="24"/>
      <c r="I14" s="30" t="str">
        <f>maxLength_50_tinstr&amp;" "&amp;keyword_tinstr</f>
        <v>Maximum length is 50 characters including spaces. May consist of more than one word.</v>
      </c>
    </row>
    <row r="15" spans="1:9" x14ac:dyDescent="0.45">
      <c r="A15" s="5" t="s">
        <v>515</v>
      </c>
      <c r="C15" s="139" t="str" cm="1">
        <f t="array" ref="C15">projectPurposes_label</f>
        <v>Purpose(s) of the project</v>
      </c>
      <c r="D15" s="139"/>
      <c r="E15" s="139"/>
      <c r="F15" s="139"/>
      <c r="G15" s="74" t="s">
        <v>550</v>
      </c>
      <c r="I15" s="30" t="str">
        <f>compulsory_field_tinstr&amp;" "&amp;projectPurposes_tinstr&amp;" "&amp;at_least_one_purpose_mssg</f>
        <v>Compulsory! Please fill-in 'Purpose of the project' sheet. At least one purpose must be chosen!</v>
      </c>
    </row>
    <row r="16" spans="1:9" x14ac:dyDescent="0.45">
      <c r="A16" s="5"/>
      <c r="C16" s="138" t="str">
        <f>objectives_and_benefits_label</f>
        <v>Objectives and predicted benefits of the project</v>
      </c>
      <c r="D16" s="138"/>
      <c r="E16" s="138"/>
      <c r="F16" s="138"/>
      <c r="G16" s="138"/>
    </row>
    <row r="17" spans="1:9" x14ac:dyDescent="0.45">
      <c r="A17" s="5"/>
      <c r="C17" s="144" t="str">
        <f>projectObjectives_label</f>
        <v>Objectives of the project</v>
      </c>
      <c r="D17" s="144"/>
      <c r="E17" s="144"/>
      <c r="F17" s="144"/>
      <c r="G17" s="74" t="s">
        <v>550</v>
      </c>
    </row>
    <row r="18" spans="1:9" ht="127.5" customHeight="1" x14ac:dyDescent="0.45">
      <c r="A18" s="5" t="s">
        <v>157</v>
      </c>
      <c r="B18" s="15" t="str">
        <f>IF(TRIM(C18)="","",C18)</f>
        <v/>
      </c>
      <c r="C18" s="121"/>
      <c r="D18" s="113"/>
      <c r="E18" s="113"/>
      <c r="F18" s="113"/>
      <c r="H18" s="35" t="str">
        <f>projectObjectives_instr</f>
        <v>Describe the objectives of the project (for example, addressing certain scientific unknowns, or scientific or clinical needs).</v>
      </c>
      <c r="I18" s="30" t="str">
        <f>compulsory_field_tinstr&amp;" "&amp;maxLength_2500_tinstr</f>
        <v>Compulsory! Maximum length is 2500 characters.</v>
      </c>
    </row>
    <row r="19" spans="1:9" x14ac:dyDescent="0.45">
      <c r="A19" s="5"/>
      <c r="B19" s="7"/>
      <c r="C19" s="144" t="str">
        <f>potentialBenefits_label</f>
        <v>Potential benefits likely to derive from this project</v>
      </c>
      <c r="D19" s="144"/>
      <c r="E19" s="144"/>
      <c r="F19" s="144"/>
      <c r="G19" s="74" t="s">
        <v>550</v>
      </c>
    </row>
    <row r="20" spans="1:9" ht="127.5" customHeight="1" x14ac:dyDescent="0.45">
      <c r="A20" s="5" t="s">
        <v>158</v>
      </c>
      <c r="B20" s="15" t="str">
        <f>IF(TRIM(C20)="","",C20)</f>
        <v/>
      </c>
      <c r="C20" s="121"/>
      <c r="D20" s="113"/>
      <c r="E20" s="113"/>
      <c r="F20" s="113"/>
      <c r="H20" s="35" t="str">
        <f>potentialBenefits_instr</f>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I20" s="30" t="str">
        <f>compulsory_field_tinstr&amp;" "&amp;maxLength_2500_tinstr</f>
        <v>Compulsory! Maximum length is 2500 characters.</v>
      </c>
    </row>
    <row r="21" spans="1:9" x14ac:dyDescent="0.45">
      <c r="A21" s="5"/>
      <c r="B21" s="7"/>
      <c r="C21" s="111" t="str" cm="1">
        <f t="array" ref="C21">predicted_harms_label</f>
        <v>Predicted harms</v>
      </c>
      <c r="D21" s="111"/>
      <c r="E21" s="111"/>
      <c r="F21" s="111"/>
      <c r="G21" s="111"/>
    </row>
    <row r="22" spans="1:9" x14ac:dyDescent="0.45">
      <c r="A22" s="5"/>
      <c r="B22" s="7"/>
      <c r="C22" s="119" t="str">
        <f>procedures_label</f>
        <v>In what procedures will the animals typically be used</v>
      </c>
      <c r="D22" s="119"/>
      <c r="E22" s="119"/>
      <c r="F22" s="119"/>
      <c r="G22" s="74" t="s">
        <v>550</v>
      </c>
    </row>
    <row r="23" spans="1:9" ht="127.5" customHeight="1" x14ac:dyDescent="0.45">
      <c r="A23" s="5" t="s">
        <v>159</v>
      </c>
      <c r="B23" s="15" t="str">
        <f>IF(TRIM(C23)="","",C23)</f>
        <v/>
      </c>
      <c r="C23" s="121"/>
      <c r="D23" s="113"/>
      <c r="E23" s="113"/>
      <c r="F23" s="113"/>
      <c r="H23" s="35" t="str">
        <f>procedures_instr</f>
        <v>In what procedures will the animals typically be used (for example, injections, surgical procedures)? Indicate the number and duration of these procedures.</v>
      </c>
      <c r="I23" s="30" t="str">
        <f>compulsory_field_tinstr&amp;" "&amp;maxLength_2500_tinstr</f>
        <v>Compulsory! Maximum length is 2500 characters.</v>
      </c>
    </row>
    <row r="24" spans="1:9" x14ac:dyDescent="0.45">
      <c r="A24" s="5"/>
      <c r="B24" s="7"/>
      <c r="C24" s="114" t="str" cm="1">
        <f t="array" ref="C24">expectedImpacts_label</f>
        <v>Expected impacts/adverse effects on the animals</v>
      </c>
      <c r="D24" s="114"/>
      <c r="E24" s="114"/>
      <c r="F24" s="114"/>
      <c r="G24" s="74" t="s">
        <v>550</v>
      </c>
    </row>
    <row r="25" spans="1:9" ht="127.5" customHeight="1" x14ac:dyDescent="0.45">
      <c r="A25" s="5" t="s">
        <v>160</v>
      </c>
      <c r="B25" s="15" t="str">
        <f>IF(TRIM(C25)="","",C25)</f>
        <v/>
      </c>
      <c r="C25" s="121"/>
      <c r="D25" s="113"/>
      <c r="E25" s="113"/>
      <c r="F25" s="113"/>
      <c r="H25" s="35" t="str">
        <f>expectedImpacts_instr</f>
        <v>What are the expected impacts/adverse effects on the animals, for example pain, weight loss, inactivity/reduced mobility, stress, abnormal behaviour, and the duration of those effects?</v>
      </c>
      <c r="I25" s="30" t="str">
        <f>compulsory_field_tinstr&amp;" "&amp;maxLength_2500_tinstr</f>
        <v>Compulsory! Maximum length is 2500 characters.</v>
      </c>
    </row>
    <row r="26" spans="1:9" ht="65.650000000000006" customHeight="1" x14ac:dyDescent="0.45">
      <c r="A26" s="5" t="s">
        <v>516</v>
      </c>
      <c r="C26" s="140" t="str">
        <f>expectedHarms_label</f>
        <v>Expected harms</v>
      </c>
      <c r="D26" s="140"/>
      <c r="E26" s="140"/>
      <c r="F26" s="141"/>
      <c r="G26" s="74" t="s">
        <v>550</v>
      </c>
      <c r="H26" s="35" t="str">
        <f>expectedHarms_instr</f>
        <v>What species and numbers of animals are expected to be used? What are the expected severities and the numbers of animals in each severity category (per species)?</v>
      </c>
      <c r="I26" s="30" t="str">
        <f>compulsory_field_tinstr&amp;" "&amp;expectedHarms_tinstr</f>
        <v>Compulsory! Please fill-in 'Expected harms' sheet. At least one row must be filled-in!</v>
      </c>
    </row>
    <row r="27" spans="1:9" ht="28.5" x14ac:dyDescent="0.45">
      <c r="A27" s="5" t="s">
        <v>517</v>
      </c>
      <c r="C27" s="137" t="str">
        <f>fateList_label</f>
        <v>Fate of animals kept alive</v>
      </c>
      <c r="D27" s="137"/>
      <c r="E27" s="137"/>
      <c r="F27" s="137"/>
      <c r="G27" s="24"/>
      <c r="H27" s="35" t="str">
        <f>fateList_instr</f>
        <v>What will happen to the animals kept alive at the end of the procedure?</v>
      </c>
      <c r="I27" s="30" t="str">
        <f>fateList_tinstr</f>
        <v xml:space="preserve">Please fill-in 'Fate of animals kept alive' sheet if applicable. </v>
      </c>
    </row>
    <row r="28" spans="1:9" x14ac:dyDescent="0.45">
      <c r="C28" s="122" t="str">
        <f>fateReasons_label</f>
        <v>Reasons for the planned fate of the animals after the procedure</v>
      </c>
      <c r="D28" s="122"/>
      <c r="E28" s="122"/>
      <c r="F28" s="122"/>
      <c r="G28" s="74" t="s">
        <v>550</v>
      </c>
    </row>
    <row r="29" spans="1:9" ht="127.5" customHeight="1" x14ac:dyDescent="0.45">
      <c r="A29" s="5" t="s">
        <v>161</v>
      </c>
      <c r="B29" s="15" t="str">
        <f>IF(TRIM(C29)="","",C29)</f>
        <v/>
      </c>
      <c r="C29" s="121"/>
      <c r="D29" s="113"/>
      <c r="E29" s="113"/>
      <c r="F29" s="113"/>
      <c r="H29" s="35" t="str">
        <f>fateReasons_instr</f>
        <v>Please provide reasons for the planned fate of the animals after the procedure.</v>
      </c>
      <c r="I29" s="30" t="str">
        <f>compulsory_field_tinstr&amp;" "&amp;maxLength_2500_tinstr</f>
        <v>Compulsory! Maximum length is 2500 characters.</v>
      </c>
    </row>
    <row r="30" spans="1:9" x14ac:dyDescent="0.45">
      <c r="A30" s="5"/>
      <c r="B30" s="7"/>
      <c r="C30" s="111" t="str">
        <f>application_of_the_three_rs_label</f>
        <v>Application of the Three Rs</v>
      </c>
      <c r="D30" s="111"/>
      <c r="E30" s="111"/>
      <c r="F30" s="111"/>
      <c r="G30" s="111"/>
    </row>
    <row r="31" spans="1:9" x14ac:dyDescent="0.45">
      <c r="A31" s="5"/>
      <c r="B31" s="7"/>
      <c r="C31" s="111" t="str">
        <f>replacement_label</f>
        <v>1. Replacement</v>
      </c>
      <c r="D31" s="111"/>
      <c r="E31" s="111"/>
      <c r="F31" s="111"/>
      <c r="G31" s="74" t="s">
        <v>550</v>
      </c>
    </row>
    <row r="32" spans="1:9" ht="127.5" customHeight="1" x14ac:dyDescent="0.45">
      <c r="A32" s="5" t="s">
        <v>162</v>
      </c>
      <c r="B32" s="15" t="str">
        <f>IF(TRIM(C32)="","",C32)</f>
        <v/>
      </c>
      <c r="C32" s="121"/>
      <c r="D32" s="113"/>
      <c r="E32" s="113"/>
      <c r="F32" s="113"/>
      <c r="H32" s="35" t="str">
        <f>replacement_instr</f>
        <v>State which non-animal alternatives are available in this field and why they cannot be used for the purposes of the project.</v>
      </c>
      <c r="I32" s="30" t="str">
        <f>compulsory_field_tinstr&amp;" "&amp;maxLength_2500_tinstr</f>
        <v>Compulsory! Maximum length is 2500 characters.</v>
      </c>
    </row>
    <row r="33" spans="1:9" x14ac:dyDescent="0.45">
      <c r="A33" s="5"/>
      <c r="B33" s="7"/>
      <c r="C33" s="115" t="str">
        <f>reduction_label</f>
        <v>2. Reduction</v>
      </c>
      <c r="D33" s="115"/>
      <c r="E33" s="115"/>
      <c r="F33" s="115"/>
      <c r="G33" s="74" t="s">
        <v>550</v>
      </c>
    </row>
    <row r="34" spans="1:9" ht="150.75" customHeight="1" x14ac:dyDescent="0.45">
      <c r="A34" s="5" t="s">
        <v>163</v>
      </c>
      <c r="B34" s="15" t="str">
        <f>IF(TRIM(C34)="","",C34)</f>
        <v/>
      </c>
      <c r="C34" s="121"/>
      <c r="D34" s="113"/>
      <c r="E34" s="113"/>
      <c r="F34" s="113"/>
      <c r="H34" s="35" t="str">
        <f>reduction_instr</f>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I34" s="30" t="str">
        <f>compulsory_field_tinstr&amp;" "&amp;maxLength_2500_tinstr</f>
        <v>Compulsory! Maximum length is 2500 characters.</v>
      </c>
    </row>
    <row r="35" spans="1:9" x14ac:dyDescent="0.45">
      <c r="A35" s="5"/>
      <c r="B35" s="7"/>
      <c r="C35" s="115" t="str">
        <f>refinement_label</f>
        <v>3. Refinement</v>
      </c>
      <c r="D35" s="115"/>
      <c r="E35" s="115"/>
      <c r="F35" s="115"/>
      <c r="G35" s="74" t="s">
        <v>550</v>
      </c>
    </row>
    <row r="36" spans="1:9" ht="127.5" customHeight="1" x14ac:dyDescent="0.45">
      <c r="A36" s="5" t="s">
        <v>164</v>
      </c>
      <c r="B36" s="15" t="str">
        <f>IF(TRIM(C36)="","",C36)</f>
        <v/>
      </c>
      <c r="C36" s="121"/>
      <c r="D36" s="113"/>
      <c r="E36" s="113"/>
      <c r="F36" s="113"/>
      <c r="H36" s="35" t="str">
        <f>refinement_instr</f>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I36" s="30" t="str">
        <f>compulsory_field_tinstr&amp;" "&amp;maxLength_2500_tinstr</f>
        <v>Compulsory! Maximum length is 2500 characters.</v>
      </c>
    </row>
    <row r="37" spans="1:9" x14ac:dyDescent="0.45">
      <c r="A37" s="5"/>
      <c r="B37" s="7"/>
      <c r="C37" s="114" t="str">
        <f>speciesChoiceExplanation_label</f>
        <v>Explain the choice of species and the related life stages</v>
      </c>
      <c r="D37" s="114"/>
      <c r="E37" s="114"/>
      <c r="F37" s="114"/>
      <c r="G37" s="74" t="s">
        <v>550</v>
      </c>
    </row>
    <row r="38" spans="1:9" ht="127.5" customHeight="1" x14ac:dyDescent="0.45">
      <c r="A38" s="5" t="s">
        <v>165</v>
      </c>
      <c r="B38" s="15" t="str">
        <f>IF(TRIM(C38)="","",C38)</f>
        <v/>
      </c>
      <c r="C38" s="121"/>
      <c r="D38" s="113"/>
      <c r="E38" s="113"/>
      <c r="F38" s="113"/>
      <c r="H38" s="35"/>
      <c r="I38" s="30" t="str">
        <f>compulsory_field_tinstr&amp;" "&amp;maxLength_2500_tinstr</f>
        <v>Compulsory! Maximum length is 2500 characters.</v>
      </c>
    </row>
    <row r="39" spans="1:9" ht="28.5" x14ac:dyDescent="0.45">
      <c r="A39" s="5"/>
      <c r="B39" s="7"/>
      <c r="C39" s="143" t="str">
        <f>project_selected_for_ra_label</f>
        <v>Project selected for Retrospective Assessment</v>
      </c>
      <c r="D39" s="143"/>
      <c r="E39" s="143"/>
      <c r="F39" s="143"/>
      <c r="G39" s="22"/>
      <c r="H39" s="35" t="str">
        <f>compulsory_field_for_some_tinstr</f>
        <v>Applicable to those MS where this information is required by the legislation.</v>
      </c>
      <c r="I39" s="30" t="str">
        <f>to_be_filled_in_by_authority_mssg</f>
        <v>To be filled-in by competent authority!</v>
      </c>
    </row>
    <row r="40" spans="1:9" x14ac:dyDescent="0.45">
      <c r="A40" s="5" t="s">
        <v>166</v>
      </c>
      <c r="B40" s="4" t="str">
        <f>IF(TRIM(D40)="","",VALUE(MID(D40,SEARCH("[", D40)+1,SEARCH("]",D40)-SEARCH("[",D40)-1)))</f>
        <v/>
      </c>
      <c r="C40" s="16" t="str">
        <f>raSelected_label</f>
        <v>Project selected for RA?</v>
      </c>
      <c r="D40" s="19"/>
      <c r="E40" s="134" t="str">
        <f>IF((CONCATENATE(B41,B43,B44,B45,B47)&lt;&gt;"")*AND(B40&lt;&gt;1),inconsistent_value_mssg,"")</f>
        <v/>
      </c>
      <c r="F40" s="135"/>
      <c r="G40" s="74" t="str">
        <f t="shared" ref="G40" si="1">selection_for_RA</f>
        <v/>
      </c>
      <c r="H40" s="35"/>
      <c r="I40" s="30" t="str">
        <f>IF(G40="*", compulsory_field_tinstr, "")</f>
        <v/>
      </c>
    </row>
    <row r="41" spans="1:9" x14ac:dyDescent="0.45">
      <c r="A41" s="5" t="s">
        <v>167</v>
      </c>
      <c r="B41" s="26" t="str">
        <f>IF(TRIM(D41)="","",D41)</f>
        <v/>
      </c>
      <c r="C41" s="16" t="str">
        <f>raDeadline_label</f>
        <v>Deadline for RA</v>
      </c>
      <c r="D41" s="41"/>
      <c r="E41" s="112" t="s">
        <v>63</v>
      </c>
      <c r="F41" s="112"/>
      <c r="G41" s="75" t="str">
        <f>IF($B$40=1,"*","")</f>
        <v/>
      </c>
      <c r="H41" s="35"/>
      <c r="I41" s="30" t="str">
        <f>IF($B$40=1,compulsory_field_tinstr&amp;" "&amp;date_format_tinstr,"")</f>
        <v/>
      </c>
    </row>
    <row r="42" spans="1:9" x14ac:dyDescent="0.45">
      <c r="A42" s="5"/>
      <c r="B42" s="26"/>
      <c r="C42" s="116" t="str">
        <f>ra_reasons_label</f>
        <v>Reasons for retrospective assessment</v>
      </c>
      <c r="D42" s="116"/>
      <c r="E42" s="136"/>
      <c r="F42" s="136"/>
      <c r="G42" s="75" t="str">
        <f>IF($B$40=1,"*","")</f>
        <v/>
      </c>
      <c r="H42" s="35"/>
      <c r="I42" s="30" t="str">
        <f>IF($B$40=1,compulsory_field_tinstr&amp;" "&amp; at_least_one_reason_mssg,"")</f>
        <v/>
      </c>
    </row>
    <row r="43" spans="1:9" x14ac:dyDescent="0.45">
      <c r="A43" s="5" t="s">
        <v>168</v>
      </c>
      <c r="B43" s="6" t="str">
        <f t="shared" ref="B43:B45" si="2">IF(TRIM(F43)="","",VALUE(MID(F43,SEARCH("[", F43)+1,SEARCH("]",F43)-SEARCH("[",F43)-1)))</f>
        <v/>
      </c>
      <c r="C43" s="25"/>
      <c r="D43" s="117" t="str">
        <f>severeProcedure_label</f>
        <v>Contains severe procedures</v>
      </c>
      <c r="E43" s="117"/>
      <c r="F43" s="19"/>
      <c r="G43" s="22"/>
    </row>
    <row r="44" spans="1:9" ht="14.25" customHeight="1" x14ac:dyDescent="0.45">
      <c r="A44" s="5" t="s">
        <v>169</v>
      </c>
      <c r="B44" s="6" t="str">
        <f t="shared" si="2"/>
        <v/>
      </c>
      <c r="C44" s="21"/>
      <c r="D44" s="118" t="str">
        <f>nhpUse_label</f>
        <v>Uses non-human primates</v>
      </c>
      <c r="E44" s="118"/>
      <c r="F44" s="19" t="s">
        <v>6</v>
      </c>
      <c r="G44" s="22"/>
    </row>
    <row r="45" spans="1:9" x14ac:dyDescent="0.45">
      <c r="A45" s="5" t="s">
        <v>170</v>
      </c>
      <c r="B45" s="6" t="str">
        <f t="shared" si="2"/>
        <v/>
      </c>
      <c r="C45" s="28" t="str">
        <f>IF((B47&lt;&gt;"")*AND(B45&lt;&gt;1),inconsistent_value_mssg,"")</f>
        <v/>
      </c>
      <c r="D45" s="118" t="str">
        <f>other_label</f>
        <v>Other reason</v>
      </c>
      <c r="E45" s="118"/>
      <c r="F45" s="19"/>
      <c r="G45" s="22"/>
    </row>
    <row r="46" spans="1:9" s="23" customFormat="1" x14ac:dyDescent="0.45">
      <c r="A46" s="5"/>
      <c r="B46" s="6"/>
      <c r="C46" s="119" t="str">
        <f>otherExplanation_label</f>
        <v>Explanation of the other reason for retrospective assessment</v>
      </c>
      <c r="D46" s="119"/>
      <c r="E46" s="119"/>
      <c r="F46" s="119"/>
      <c r="G46" s="22"/>
      <c r="H46" s="35"/>
      <c r="I46" s="30"/>
    </row>
    <row r="47" spans="1:9" ht="57.4" customHeight="1" x14ac:dyDescent="0.45">
      <c r="A47" s="5" t="s">
        <v>171</v>
      </c>
      <c r="B47" s="15" t="str">
        <f>IF(TRIM(C47)="","",C47)</f>
        <v/>
      </c>
      <c r="C47" s="120"/>
      <c r="D47" s="120"/>
      <c r="E47" s="120"/>
      <c r="F47" s="120"/>
      <c r="G47" s="75" t="str">
        <f>IF($B$45=1,"*","")</f>
        <v/>
      </c>
      <c r="I47" s="35" t="str">
        <f>IF(B45=1, compulsory_field_tinstr&amp;" "&amp;maxLength_500_tinstr, "")</f>
        <v/>
      </c>
    </row>
    <row r="48" spans="1:9" x14ac:dyDescent="0.45">
      <c r="C48" s="115" t="str">
        <f>additional_fields_title</f>
        <v>Additional fields</v>
      </c>
      <c r="D48" s="115"/>
      <c r="E48" s="115"/>
      <c r="F48" s="115"/>
      <c r="I48" s="30" t="str">
        <f>additional_fields_tinstr</f>
        <v>Whether the particular field is applicable or not, depends on national rules.</v>
      </c>
    </row>
    <row r="49" spans="1:9" s="42" customFormat="1" ht="31.9" customHeight="1" x14ac:dyDescent="0.45">
      <c r="A49" s="5" t="s">
        <v>518</v>
      </c>
      <c r="B49" s="15" t="str">
        <f>IF(TRIM(D49)="","",D49)</f>
        <v/>
      </c>
      <c r="C49" s="43" t="str">
        <f>field1_label</f>
        <v>National field 1</v>
      </c>
      <c r="D49" s="113"/>
      <c r="E49" s="113"/>
      <c r="F49" s="113"/>
      <c r="G49" s="10"/>
      <c r="H49" s="35"/>
      <c r="I49" s="30" t="str">
        <f>not_published_instr&amp;" "&amp;maxLength_2500_tinstr</f>
        <v>Field will not be published. Maximum length is 2500 characters.</v>
      </c>
    </row>
    <row r="50" spans="1:9" s="42" customFormat="1" ht="31.5" customHeight="1" x14ac:dyDescent="0.45">
      <c r="A50" s="5" t="s">
        <v>519</v>
      </c>
      <c r="B50" s="15" t="str">
        <f t="shared" ref="B50:B51" si="3">IF(TRIM(D50)="","",D50)</f>
        <v/>
      </c>
      <c r="C50" s="43" t="str">
        <f>field2_label</f>
        <v>National field 2</v>
      </c>
      <c r="D50" s="113"/>
      <c r="E50" s="113"/>
      <c r="F50" s="113"/>
      <c r="G50" s="10"/>
      <c r="H50" s="35"/>
      <c r="I50" s="30" t="str">
        <f>not_published_instr&amp;" "&amp;maxLength_2500_tinstr</f>
        <v>Field will not be published. Maximum length is 2500 characters.</v>
      </c>
    </row>
    <row r="51" spans="1:9" s="42" customFormat="1" ht="30.4" customHeight="1" x14ac:dyDescent="0.45">
      <c r="A51" s="5" t="s">
        <v>520</v>
      </c>
      <c r="B51" s="15" t="str">
        <f t="shared" si="3"/>
        <v/>
      </c>
      <c r="C51" s="43" t="str">
        <f>field3_label</f>
        <v>National field 3</v>
      </c>
      <c r="D51" s="113"/>
      <c r="E51" s="113"/>
      <c r="F51" s="113"/>
      <c r="G51" s="10"/>
      <c r="H51" s="35"/>
      <c r="I51" s="30" t="str">
        <f>not_published_instr&amp;" "&amp;maxLength_2500_tinstr</f>
        <v>Field will not be published. Maximum length is 2500 characters.</v>
      </c>
    </row>
    <row r="52" spans="1:9" s="50" customFormat="1" ht="30.4" customHeight="1" x14ac:dyDescent="0.45">
      <c r="A52" s="5" t="s">
        <v>521</v>
      </c>
      <c r="B52" s="15" t="str">
        <f t="shared" ref="B52:B53" si="4">IF(TRIM(D52)="","",D52)</f>
        <v/>
      </c>
      <c r="C52" s="51" t="str">
        <f>field4_label</f>
        <v>National field 4</v>
      </c>
      <c r="D52" s="113"/>
      <c r="E52" s="113"/>
      <c r="F52" s="113"/>
      <c r="G52" s="10"/>
      <c r="H52" s="35"/>
      <c r="I52" s="30" t="str">
        <f>not_published_instr&amp;" "&amp;maxLength_2500_tinstr</f>
        <v>Field will not be published. Maximum length is 2500 characters.</v>
      </c>
    </row>
    <row r="53" spans="1:9" s="50" customFormat="1" ht="30.4" customHeight="1" x14ac:dyDescent="0.45">
      <c r="A53" s="5" t="s">
        <v>522</v>
      </c>
      <c r="B53" s="15" t="str">
        <f t="shared" si="4"/>
        <v/>
      </c>
      <c r="C53" s="51" t="str">
        <f>field5_label</f>
        <v>National field 5</v>
      </c>
      <c r="D53" s="113"/>
      <c r="E53" s="113"/>
      <c r="F53" s="113"/>
      <c r="G53" s="10"/>
      <c r="H53" s="35"/>
      <c r="I53" s="30" t="str">
        <f>not_published_instr&amp;" "&amp;maxLength_2500_tinstr</f>
        <v>Field will not be published. Maximum length is 2500 characters.</v>
      </c>
    </row>
    <row r="54" spans="1:9" s="42" customFormat="1" x14ac:dyDescent="0.45">
      <c r="A54" s="5" t="s">
        <v>523</v>
      </c>
      <c r="B54" s="26" t="str">
        <f>IF(TRIM(D54)="","",D54)</f>
        <v/>
      </c>
      <c r="C54" s="43" t="str">
        <f>projectStartDate_label</f>
        <v>Project start date</v>
      </c>
      <c r="D54" s="41"/>
      <c r="E54" s="112" t="s">
        <v>63</v>
      </c>
      <c r="F54" s="112"/>
      <c r="G54" s="22" t="str">
        <f>project_start_end_date</f>
        <v/>
      </c>
      <c r="H54" s="35"/>
      <c r="I54" s="30" t="str">
        <f>not_published_instr&amp;" "&amp;date_format_tinstr</f>
        <v>Field will not be published. Format is dd-mm-yyyy or dd/mm/yyyy depending on your system settings (e.g. 27-05-2022 or 27/05/2022)</v>
      </c>
    </row>
    <row r="55" spans="1:9" s="42" customFormat="1" x14ac:dyDescent="0.45">
      <c r="A55" s="5" t="s">
        <v>524</v>
      </c>
      <c r="B55" s="26" t="str">
        <f>IF(TRIM(D55)="","",D55)</f>
        <v/>
      </c>
      <c r="C55" s="43" t="str">
        <f>projectEndDate_label</f>
        <v>Project end date</v>
      </c>
      <c r="D55" s="41"/>
      <c r="E55" s="112" t="s">
        <v>63</v>
      </c>
      <c r="F55" s="112"/>
      <c r="G55" s="22" t="str">
        <f>project_start_end_date</f>
        <v/>
      </c>
      <c r="H55" s="35"/>
      <c r="I55" s="30" t="str">
        <f>not_published_instr&amp;" "&amp;date_format_tinstr</f>
        <v>Field will not be published. Format is dd-mm-yyyy or dd/mm/yyyy depending on your system settings (e.g. 27-05-2022 or 27/05/2022)</v>
      </c>
    </row>
    <row r="56" spans="1:9" s="42" customFormat="1" x14ac:dyDescent="0.45">
      <c r="A56" s="5" t="s">
        <v>525</v>
      </c>
      <c r="B56" s="26" t="str">
        <f>IF(TRIM(D56)="","",D56)</f>
        <v/>
      </c>
      <c r="C56" s="43" t="str">
        <f>projectApprovalDate_label</f>
        <v>Project approval date</v>
      </c>
      <c r="D56" s="41"/>
      <c r="E56" s="112" t="s">
        <v>63</v>
      </c>
      <c r="F56" s="112"/>
      <c r="G56" s="22" t="str">
        <f>project_approval_date</f>
        <v/>
      </c>
      <c r="H56" s="35"/>
      <c r="I56" s="30" t="str">
        <f>not_published_instr&amp;" "&amp;to_be_filled_in_by_authority_mssg&amp;" "&amp;date_format_tinstr</f>
        <v>Field will not be published. To be filled-in by competent authority! Format is dd-mm-yyyy or dd/mm/yyyy depending on your system settings (e.g. 27-05-2022 or 27/05/2022)</v>
      </c>
    </row>
    <row r="57" spans="1:9" s="42" customFormat="1" x14ac:dyDescent="0.45">
      <c r="A57" s="5" t="s">
        <v>526</v>
      </c>
      <c r="B57" s="7" t="str">
        <f>IF(TRIM(D57)="","",D57)</f>
        <v/>
      </c>
      <c r="C57" s="43" t="str">
        <f>ICD_code_label &amp; " 1"</f>
        <v>ICD code 1</v>
      </c>
      <c r="D57" s="73"/>
      <c r="E57" s="112" t="s">
        <v>63</v>
      </c>
      <c r="F57" s="112"/>
      <c r="G57" s="22"/>
      <c r="H57" s="35"/>
      <c r="I57" s="30" t="str">
        <f>not_published_instr&amp;" "&amp;ICD_code_instr&amp;" "&amp;ICD_code_tinstr</f>
        <v>Field will not be published. International Classification of Diseases (ICD) code. Up to a precision of a 4 character code.</v>
      </c>
    </row>
    <row r="58" spans="1:9" x14ac:dyDescent="0.45">
      <c r="A58" s="5" t="s">
        <v>527</v>
      </c>
      <c r="B58" s="7" t="str">
        <f t="shared" ref="B58:B60" si="5">IF(TRIM(D58)="","",D58)</f>
        <v/>
      </c>
      <c r="C58" s="70" t="str">
        <f>ICD_code_label &amp; " 2"</f>
        <v>ICD code 2</v>
      </c>
      <c r="D58" s="73"/>
      <c r="E58" s="112" t="s">
        <v>63</v>
      </c>
      <c r="F58" s="112"/>
      <c r="G58" s="22"/>
      <c r="H58" s="35"/>
      <c r="I58" s="30" t="str">
        <f>not_published_instr&amp;" "&amp;ICD_code_instr&amp;" "&amp;ICD_code_tinstr</f>
        <v>Field will not be published. International Classification of Diseases (ICD) code. Up to a precision of a 4 character code.</v>
      </c>
    </row>
    <row r="59" spans="1:9" x14ac:dyDescent="0.45">
      <c r="A59" s="5" t="s">
        <v>528</v>
      </c>
      <c r="B59" s="7" t="str">
        <f t="shared" si="5"/>
        <v/>
      </c>
      <c r="C59" s="70" t="str">
        <f>ICD_code_label &amp; " 3"</f>
        <v>ICD code 3</v>
      </c>
      <c r="D59" s="73"/>
      <c r="E59" s="112" t="s">
        <v>63</v>
      </c>
      <c r="F59" s="112"/>
      <c r="G59" s="22"/>
      <c r="H59" s="35"/>
      <c r="I59" s="30" t="str">
        <f>not_published_instr&amp;" "&amp;ICD_code_instr&amp;" "&amp;ICD_code_tinstr</f>
        <v>Field will not be published. International Classification of Diseases (ICD) code. Up to a precision of a 4 character code.</v>
      </c>
    </row>
    <row r="60" spans="1:9" ht="28.9" customHeight="1" x14ac:dyDescent="0.45">
      <c r="A60" s="5" t="s">
        <v>532</v>
      </c>
      <c r="B60" s="15" t="str">
        <f t="shared" si="5"/>
        <v/>
      </c>
      <c r="C60" s="72" t="str">
        <f>ntsPreviousVersionExternalLink_label</f>
        <v>Link to the previous NTS version outside the EC system</v>
      </c>
      <c r="D60" s="132"/>
      <c r="E60" s="132"/>
      <c r="F60" s="132"/>
      <c r="H60" s="35"/>
      <c r="I60" s="30" t="str">
        <f>ntsPreviousVersionExternalLink_instr&amp;" "&amp;maxLength_500_tinstr</f>
        <v>To be used in transition period where the previous version of the NTS might not exist in the EC system. Maximum length is 500 characters.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4.25" x14ac:dyDescent="0.45"/>
  <cols>
    <col min="1" max="1" width="108.265625" customWidth="1"/>
  </cols>
  <sheetData>
    <row r="1" spans="1:1" ht="23.25" x14ac:dyDescent="0.45">
      <c r="A1" s="36" t="str">
        <f>projectPurposes_label</f>
        <v>Purpose(s) of the project</v>
      </c>
    </row>
    <row r="2" spans="1:1" ht="15" hidden="1" customHeight="1" x14ac:dyDescent="0.45">
      <c r="A2" s="33" t="s">
        <v>491</v>
      </c>
    </row>
    <row r="3" spans="1:1" x14ac:dyDescent="0.45">
      <c r="A3" s="8"/>
    </row>
    <row r="4" spans="1:1" x14ac:dyDescent="0.45">
      <c r="A4" s="8"/>
    </row>
    <row r="5" spans="1:1" x14ac:dyDescent="0.45">
      <c r="A5" s="8"/>
    </row>
    <row r="6" spans="1:1" x14ac:dyDescent="0.45">
      <c r="A6" s="8"/>
    </row>
    <row r="7" spans="1:1" x14ac:dyDescent="0.45">
      <c r="A7" s="8"/>
    </row>
    <row r="8" spans="1:1" x14ac:dyDescent="0.45">
      <c r="A8" s="8"/>
    </row>
    <row r="9" spans="1:1" x14ac:dyDescent="0.45">
      <c r="A9" s="8"/>
    </row>
    <row r="10" spans="1:1" x14ac:dyDescent="0.45">
      <c r="A10" s="8"/>
    </row>
    <row r="11" spans="1:1" x14ac:dyDescent="0.45">
      <c r="A11" s="8"/>
    </row>
    <row r="12" spans="1:1" x14ac:dyDescent="0.45">
      <c r="A12" s="8"/>
    </row>
    <row r="13" spans="1:1" x14ac:dyDescent="0.45">
      <c r="A13" s="8"/>
    </row>
    <row r="14" spans="1:1" x14ac:dyDescent="0.45">
      <c r="A14" s="8"/>
    </row>
    <row r="15" spans="1:1" x14ac:dyDescent="0.45">
      <c r="A15" s="8"/>
    </row>
    <row r="16" spans="1:1" x14ac:dyDescent="0.45">
      <c r="A16" s="8"/>
    </row>
    <row r="17" spans="1:1" x14ac:dyDescent="0.45">
      <c r="A17" s="8"/>
    </row>
    <row r="18" spans="1:1" x14ac:dyDescent="0.45">
      <c r="A18" s="8"/>
    </row>
    <row r="19" spans="1:1" x14ac:dyDescent="0.45">
      <c r="A19" s="8"/>
    </row>
    <row r="20" spans="1:1" x14ac:dyDescent="0.45">
      <c r="A20" s="8"/>
    </row>
    <row r="21" spans="1:1" x14ac:dyDescent="0.45">
      <c r="A21" s="8"/>
    </row>
    <row r="22" spans="1:1" x14ac:dyDescent="0.45">
      <c r="A22" s="8"/>
    </row>
    <row r="23" spans="1:1" x14ac:dyDescent="0.45">
      <c r="A23" s="8"/>
    </row>
    <row r="24" spans="1:1" x14ac:dyDescent="0.45">
      <c r="A24" s="8"/>
    </row>
    <row r="25" spans="1:1" x14ac:dyDescent="0.45">
      <c r="A25" s="8"/>
    </row>
    <row r="26" spans="1:1" x14ac:dyDescent="0.45">
      <c r="A26" s="8"/>
    </row>
    <row r="27" spans="1:1" x14ac:dyDescent="0.45">
      <c r="A27" s="8"/>
    </row>
    <row r="28" spans="1:1" x14ac:dyDescent="0.45">
      <c r="A28" s="8"/>
    </row>
    <row r="29" spans="1:1" x14ac:dyDescent="0.45">
      <c r="A29" s="8"/>
    </row>
    <row r="30" spans="1:1" x14ac:dyDescent="0.45">
      <c r="A30" s="8"/>
    </row>
    <row r="31" spans="1:1" x14ac:dyDescent="0.45">
      <c r="A31" s="8"/>
    </row>
    <row r="32" spans="1:1" x14ac:dyDescent="0.45">
      <c r="A32" s="8"/>
    </row>
    <row r="33" spans="1:1" x14ac:dyDescent="0.45">
      <c r="A33" s="8"/>
    </row>
    <row r="34" spans="1:1" x14ac:dyDescent="0.45">
      <c r="A34" s="8"/>
    </row>
    <row r="35" spans="1:1" x14ac:dyDescent="0.45">
      <c r="A35" s="8"/>
    </row>
    <row r="36" spans="1:1" x14ac:dyDescent="0.45">
      <c r="A36" s="8"/>
    </row>
    <row r="37" spans="1:1" x14ac:dyDescent="0.45">
      <c r="A37" s="8"/>
    </row>
    <row r="38" spans="1:1" x14ac:dyDescent="0.45">
      <c r="A38" s="8"/>
    </row>
    <row r="39" spans="1:1" x14ac:dyDescent="0.45">
      <c r="A39" s="8"/>
    </row>
    <row r="40" spans="1:1" x14ac:dyDescent="0.45">
      <c r="A40" s="8"/>
    </row>
    <row r="41" spans="1:1" x14ac:dyDescent="0.45">
      <c r="A41" s="8"/>
    </row>
    <row r="42" spans="1:1" x14ac:dyDescent="0.45">
      <c r="A42" s="8"/>
    </row>
    <row r="43" spans="1:1" x14ac:dyDescent="0.45">
      <c r="A43" s="8"/>
    </row>
    <row r="44" spans="1:1" x14ac:dyDescent="0.45">
      <c r="A44" s="8"/>
    </row>
    <row r="45" spans="1:1" x14ac:dyDescent="0.4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06640625" defaultRowHeight="14.25" x14ac:dyDescent="0.45"/>
  <cols>
    <col min="1" max="1" width="68.06640625" style="40" customWidth="1"/>
    <col min="2" max="2" width="16.59765625" style="40" customWidth="1"/>
    <col min="3" max="3" width="14.9296875" style="40" customWidth="1"/>
    <col min="4" max="4" width="14.59765625" style="9" customWidth="1"/>
    <col min="5" max="5" width="14.265625" style="9" customWidth="1"/>
    <col min="6" max="6" width="18.33203125" style="9" hidden="1" customWidth="1"/>
    <col min="7" max="7" width="32.796875" style="34" customWidth="1"/>
    <col min="8" max="8" width="54.33203125" style="9" customWidth="1"/>
    <col min="9" max="16384" width="9.06640625" style="9"/>
  </cols>
  <sheetData>
    <row r="1" spans="1:8" ht="29.25" customHeight="1" thickBot="1" x14ac:dyDescent="0.75">
      <c r="A1" s="36" t="str">
        <f>expectedHarms_label</f>
        <v>Expected harms</v>
      </c>
      <c r="B1" s="145" t="str">
        <f>numbers_per_severity_label</f>
        <v>Estimated numbers per severity</v>
      </c>
      <c r="C1" s="145"/>
      <c r="D1" s="145"/>
      <c r="E1" s="145"/>
      <c r="F1" s="71"/>
      <c r="G1" s="37"/>
    </row>
    <row r="2" spans="1:8" ht="75" customHeight="1" thickBot="1" x14ac:dyDescent="0.5">
      <c r="A2" s="108" t="str">
        <f>species_label</f>
        <v>Species</v>
      </c>
      <c r="B2" s="109" t="str">
        <f>nonRecovery_label</f>
        <v>Non-recovery</v>
      </c>
      <c r="C2" s="109" t="str">
        <f>mild_label</f>
        <v>Mild</v>
      </c>
      <c r="D2" s="109" t="str">
        <f>moderate_label</f>
        <v>Moderate</v>
      </c>
      <c r="E2" s="109" t="str">
        <f>severe_label</f>
        <v>Severe</v>
      </c>
      <c r="F2" s="109" t="str">
        <f>custom_severity_label</f>
        <v>MS custom severity</v>
      </c>
    </row>
    <row r="3" spans="1:8" ht="13.5" hidden="1" customHeight="1" x14ac:dyDescent="0.45">
      <c r="A3" s="33" t="s">
        <v>179</v>
      </c>
      <c r="B3" s="39" t="s">
        <v>180</v>
      </c>
      <c r="C3" s="39" t="s">
        <v>181</v>
      </c>
      <c r="D3" s="39" t="s">
        <v>182</v>
      </c>
      <c r="E3" s="39" t="s">
        <v>183</v>
      </c>
      <c r="F3" s="39" t="s">
        <v>546</v>
      </c>
    </row>
    <row r="4" spans="1:8" x14ac:dyDescent="0.4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4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4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4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4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4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4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4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4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4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4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4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4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4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4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4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4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4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4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4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4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4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4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4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4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4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4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4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4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4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4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4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4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4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4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4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4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4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4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4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defaultColWidth="9.06640625" defaultRowHeight="14.25" x14ac:dyDescent="0.45"/>
  <cols>
    <col min="1" max="1" width="67.46484375" style="9" customWidth="1"/>
    <col min="2" max="4" width="20.73046875" style="9" customWidth="1"/>
    <col min="5" max="5" width="37.796875" style="9" customWidth="1"/>
    <col min="6" max="6" width="65.265625" style="9" customWidth="1"/>
    <col min="7" max="16384" width="9.06640625" style="9"/>
  </cols>
  <sheetData>
    <row r="1" spans="1:6" ht="43.5" customHeight="1" x14ac:dyDescent="0.7">
      <c r="A1" s="110" t="str">
        <f>fateList_label</f>
        <v>Fate of animals kept alive</v>
      </c>
      <c r="B1" s="146" t="str">
        <f>numbers_per_fate_label</f>
        <v>Estimated numbers of animals to be reused, to be returned to habitat/husbandry system or to be rehomed</v>
      </c>
      <c r="C1" s="146"/>
      <c r="D1" s="146"/>
      <c r="E1" s="37"/>
    </row>
    <row r="2" spans="1:6" ht="44.25" customHeight="1" thickBot="1" x14ac:dyDescent="0.5">
      <c r="A2" s="38" t="str">
        <f>species_label</f>
        <v>Species</v>
      </c>
      <c r="B2" s="109" t="str">
        <f>reused_label</f>
        <v>Reused</v>
      </c>
      <c r="C2" s="109" t="str">
        <f>returned_label</f>
        <v>Returned</v>
      </c>
      <c r="D2" s="109" t="str">
        <f>rehomed_label</f>
        <v>Rehomed</v>
      </c>
    </row>
    <row r="3" spans="1:6" ht="15.4" hidden="1" customHeight="1" x14ac:dyDescent="0.45">
      <c r="A3" s="9" t="s">
        <v>179</v>
      </c>
      <c r="B3" s="9" t="s">
        <v>315</v>
      </c>
      <c r="C3" s="9" t="s">
        <v>316</v>
      </c>
      <c r="D3" s="9" t="s">
        <v>317</v>
      </c>
    </row>
    <row r="4" spans="1:6" x14ac:dyDescent="0.4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4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4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4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4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4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4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4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4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4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4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4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4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4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4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4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4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4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4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4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4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4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4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4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4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4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4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4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4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4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4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4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4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4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4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4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4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4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4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100" workbookViewId="0">
      <selection activeCell="H118" sqref="H118"/>
    </sheetView>
  </sheetViews>
  <sheetFormatPr defaultRowHeight="14.25" x14ac:dyDescent="0.45"/>
  <cols>
    <col min="1" max="1" width="26.265625" style="9" customWidth="1"/>
    <col min="2" max="2" width="26.73046875" style="9" customWidth="1"/>
    <col min="3" max="3" width="98.3984375" style="9" customWidth="1"/>
    <col min="4" max="4" width="9.33203125" style="9" customWidth="1"/>
    <col min="5" max="5" width="8.73046875" style="9" customWidth="1"/>
    <col min="6" max="6" width="8.59765625" style="9" customWidth="1"/>
    <col min="7" max="7" width="8.46484375" style="9" customWidth="1"/>
    <col min="8" max="10" width="9.06640625" style="9"/>
    <col min="11" max="11" width="15" style="9" customWidth="1"/>
    <col min="12" max="16384" width="9.06640625" style="9"/>
  </cols>
  <sheetData>
    <row r="1" spans="1:28" ht="14.65" thickBot="1" x14ac:dyDescent="0.5"/>
    <row r="2" spans="1:28" s="53" customFormat="1" ht="14.65" thickBot="1" x14ac:dyDescent="0.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4.65" thickBot="1" x14ac:dyDescent="0.5">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4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4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Basic research</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45">
      <c r="A6" s="48" t="s">
        <v>57</v>
      </c>
      <c r="B6" s="9" t="str">
        <f t="shared" si="1"/>
        <v>Translational and applied research</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45">
      <c r="A7" s="48" t="s">
        <v>476</v>
      </c>
      <c r="B7" s="9" t="str">
        <f t="shared" si="1"/>
        <v>Regulatory use and routine production</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45">
      <c r="A8" s="48" t="s">
        <v>485</v>
      </c>
      <c r="B8" s="9" t="str">
        <f t="shared" si="1"/>
        <v>Protection of the natural environment in the interests of the health or welfare of human beings or animals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45">
      <c r="A9" s="48" t="s">
        <v>486</v>
      </c>
      <c r="B9" s="9" t="str">
        <f t="shared" si="1"/>
        <v>Preservation of 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45">
      <c r="A10" s="49" t="s">
        <v>487</v>
      </c>
      <c r="B10" s="9" t="str">
        <f t="shared" si="1"/>
        <v>Higher education</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45">
      <c r="A11" s="49" t="s">
        <v>488</v>
      </c>
      <c r="B11" s="9" t="str">
        <f t="shared" si="1"/>
        <v>Training for the acquisition, maintenance or improvement of vocational skills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45">
      <c r="A12" s="48" t="s">
        <v>489</v>
      </c>
      <c r="B12" s="9" t="str">
        <f t="shared" si="1"/>
        <v>Forensic enquiries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4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Maintenance of colonies of established genetically altered animals, not used in other procedures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4.65" thickBot="1" x14ac:dyDescent="0.5">
      <c r="A14" s="48" t="s">
        <v>544</v>
      </c>
      <c r="B14" s="9" t="str">
        <f t="shared" si="1"/>
        <v>Non-EU Purpose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4.65" thickBot="1" x14ac:dyDescent="0.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4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45">
      <c r="A17" s="9" t="s">
        <v>425</v>
      </c>
      <c r="B17" s="9" t="str">
        <f t="shared" ref="B17:B52" si="4">IF(TRIM(HLOOKUP(language_or_default,purposeTranslations,MATCH(A17,purposeCode,0),FALSE))="",HLOOKUP("en",purposeTranslations,MATCH(A17,purposeCode,0),FALSE),HLOOKUP(language_or_default,purposeTranslations,MATCH(A17,purposeCode,0),FALSE))</f>
        <v>Oncology</v>
      </c>
      <c r="C17" s="9" t="str">
        <f>CONCATENATE(B$5,": ",B17," [",A17,"]")</f>
        <v>Basic research: Oncology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45">
      <c r="A18" s="9" t="s">
        <v>426</v>
      </c>
      <c r="B18" s="9" t="str">
        <f t="shared" si="4"/>
        <v>Cardiovascular Blood and Lymphatic System</v>
      </c>
      <c r="C18" s="9" t="str">
        <f t="shared" ref="C18:C30" si="5">CONCATENATE(B$5,": ",B18," [",A18,"]")</f>
        <v>Basic research: Cardiovascular Blood and Lymphatic System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45">
      <c r="A19" s="9" t="s">
        <v>427</v>
      </c>
      <c r="B19" s="9" t="str">
        <f t="shared" si="4"/>
        <v>Nervous System</v>
      </c>
      <c r="C19" s="9" t="str">
        <f t="shared" si="5"/>
        <v>Basic research: Nervous System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45">
      <c r="A20" s="9" t="s">
        <v>428</v>
      </c>
      <c r="B20" s="9" t="str">
        <f t="shared" si="4"/>
        <v>Respiratory System</v>
      </c>
      <c r="C20" s="9" t="str">
        <f t="shared" si="5"/>
        <v>Basic research: Respiratory System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45">
      <c r="A21" s="9" t="s">
        <v>429</v>
      </c>
      <c r="B21" s="9" t="str">
        <f t="shared" si="4"/>
        <v>Gastrointestinal System including Liver</v>
      </c>
      <c r="C21" s="9" t="str">
        <f t="shared" si="5"/>
        <v>Basic research: Gastrointestinal System including Liver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45">
      <c r="A22" s="9" t="s">
        <v>430</v>
      </c>
      <c r="B22" s="9" t="str">
        <f t="shared" si="4"/>
        <v>Musculoskeletal System</v>
      </c>
      <c r="C22" s="9" t="str">
        <f t="shared" si="5"/>
        <v>Basic research: Musculoskeletal System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45">
      <c r="A23" s="9" t="s">
        <v>431</v>
      </c>
      <c r="B23" s="9" t="str">
        <f t="shared" si="4"/>
        <v>Immune System</v>
      </c>
      <c r="C23" s="9" t="str">
        <f t="shared" si="5"/>
        <v>Basic research: Immune System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45">
      <c r="A24" s="9" t="s">
        <v>432</v>
      </c>
      <c r="B24" s="9" t="str">
        <f t="shared" si="4"/>
        <v>Urogenital/Reproductive System</v>
      </c>
      <c r="C24" s="9" t="str">
        <f t="shared" si="5"/>
        <v>Basic research: Urogenital/Reproductive System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45">
      <c r="A25" s="9" t="s">
        <v>433</v>
      </c>
      <c r="B25" s="9" t="str">
        <f t="shared" si="4"/>
        <v>Sensory Organs (skin, eyes and ears)</v>
      </c>
      <c r="C25" s="9" t="str">
        <f t="shared" si="5"/>
        <v>Basic research: Sensory Organs (skin, eyes and ears)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45">
      <c r="A26" s="9" t="s">
        <v>434</v>
      </c>
      <c r="B26" s="9" t="str">
        <f t="shared" si="4"/>
        <v>Endocrine System/Metabolism</v>
      </c>
      <c r="C26" s="9" t="str">
        <f t="shared" si="5"/>
        <v>Basic research: Endocrine System/Metabolism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45">
      <c r="A27" s="55" t="s">
        <v>438</v>
      </c>
      <c r="B27" s="9" t="str">
        <f t="shared" si="4"/>
        <v>Developmental Biology</v>
      </c>
      <c r="C27" s="9" t="str">
        <f t="shared" si="5"/>
        <v>Basic research: Developmental Biology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45">
      <c r="A28" s="9" t="s">
        <v>435</v>
      </c>
      <c r="B28" s="9" t="str">
        <f t="shared" si="4"/>
        <v>Multisystemic</v>
      </c>
      <c r="C28" s="9" t="str">
        <f t="shared" si="5"/>
        <v>Basic research: Multisystemic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45">
      <c r="A29" s="9" t="s">
        <v>436</v>
      </c>
      <c r="B29" s="9" t="str">
        <f t="shared" si="4"/>
        <v>Ethology/Animal Behaviour/Animal Biology</v>
      </c>
      <c r="C29" s="9" t="str">
        <f t="shared" si="5"/>
        <v>Basic research: Ethology/Animal Behaviour/Animal Biology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45">
      <c r="A30" s="9" t="s">
        <v>437</v>
      </c>
      <c r="B30" s="9" t="str">
        <f t="shared" si="4"/>
        <v>Other Basic Research</v>
      </c>
      <c r="C30" s="9" t="str">
        <f t="shared" si="5"/>
        <v>Basic research: Other Basic Research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45">
      <c r="A31" s="9" t="s">
        <v>457</v>
      </c>
      <c r="B31" s="9" t="str">
        <f t="shared" si="4"/>
        <v>Human Cancer</v>
      </c>
      <c r="C31" s="9" t="str">
        <f>CONCATENATE(B$6,": ",B31," [",A31,"]")</f>
        <v>Translational and applied research: Human Cancer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45">
      <c r="A32" s="9" t="s">
        <v>458</v>
      </c>
      <c r="B32" s="9" t="str">
        <f t="shared" si="4"/>
        <v>Human Infectious Disorders</v>
      </c>
      <c r="C32" s="9" t="str">
        <f t="shared" ref="C32:C48" si="6">CONCATENATE(B$6,": ",B32," [",A32,"]")</f>
        <v>Translational and applied research: Human Infectious Disorders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45">
      <c r="A33" s="9" t="s">
        <v>459</v>
      </c>
      <c r="B33" s="9" t="str">
        <f t="shared" si="4"/>
        <v>Human Cardiovascular Disorders</v>
      </c>
      <c r="C33" s="9" t="str">
        <f t="shared" si="6"/>
        <v>Translational and applied research: Human Cardiovascular Disorders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45">
      <c r="A34" s="9" t="s">
        <v>460</v>
      </c>
      <c r="B34" s="9" t="str">
        <f t="shared" si="4"/>
        <v>Human Nervous and Mental Disorders</v>
      </c>
      <c r="C34" s="9" t="str">
        <f t="shared" si="6"/>
        <v>Translational and applied research: Human Nervous and Mental Disorders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45">
      <c r="A35" s="9" t="s">
        <v>461</v>
      </c>
      <c r="B35" s="9" t="str">
        <f t="shared" si="4"/>
        <v>Human Respiratory Disorders</v>
      </c>
      <c r="C35" s="9" t="str">
        <f t="shared" si="6"/>
        <v>Translational and applied research: Human Respiratory Disorders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45">
      <c r="A36" s="9" t="s">
        <v>462</v>
      </c>
      <c r="B36" s="9" t="str">
        <f t="shared" si="4"/>
        <v>Human Gastrointestinal Disorders including Liver</v>
      </c>
      <c r="C36" s="9" t="str">
        <f t="shared" si="6"/>
        <v>Translational and applied research: Human Gastrointestinal Disorders including Liver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45">
      <c r="A37" s="9" t="s">
        <v>463</v>
      </c>
      <c r="B37" s="9" t="str">
        <f t="shared" si="4"/>
        <v>Human Musculoskeletal Disorders</v>
      </c>
      <c r="C37" s="9" t="str">
        <f t="shared" si="6"/>
        <v>Translational and applied research: Human Musculoskeletal Disorders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45">
      <c r="A38" s="9" t="s">
        <v>464</v>
      </c>
      <c r="B38" s="9" t="str">
        <f t="shared" si="4"/>
        <v>Human Immune Disorders</v>
      </c>
      <c r="C38" s="9" t="str">
        <f t="shared" si="6"/>
        <v>Translational and applied research: Human Immune Disorders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45">
      <c r="A39" s="9" t="s">
        <v>465</v>
      </c>
      <c r="B39" s="9" t="str">
        <f t="shared" si="4"/>
        <v>Human Urogenital/Reproductive Disorders</v>
      </c>
      <c r="C39" s="9" t="str">
        <f t="shared" si="6"/>
        <v>Translational and applied research: Human Urogenital/Reproductive Disorders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45">
      <c r="A40" s="9" t="s">
        <v>466</v>
      </c>
      <c r="B40" s="9" t="str">
        <f t="shared" si="4"/>
        <v>Human Sensory Organ Disorders (skin, eyes and ears)</v>
      </c>
      <c r="C40" s="9" t="str">
        <f t="shared" si="6"/>
        <v>Translational and applied research: Human Sensory Organ Disorders (skin, eyes and ears)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45">
      <c r="A41" s="9" t="s">
        <v>467</v>
      </c>
      <c r="B41" s="9" t="str">
        <f t="shared" si="4"/>
        <v>Human Endocrine/Metabolism Disorders</v>
      </c>
      <c r="C41" s="9" t="str">
        <f t="shared" si="6"/>
        <v>Translational and applied research: Human Endocrine/Metabolism Disorders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45">
      <c r="A42" s="9" t="s">
        <v>468</v>
      </c>
      <c r="B42" s="9" t="str">
        <f t="shared" si="4"/>
        <v>Other Human Disorders</v>
      </c>
      <c r="C42" s="9" t="str">
        <f t="shared" si="6"/>
        <v>Translational and applied research: Other Human Disorders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45">
      <c r="A43" s="9" t="s">
        <v>469</v>
      </c>
      <c r="B43" s="9" t="str">
        <f t="shared" si="4"/>
        <v>Animal Diseases and Disorders</v>
      </c>
      <c r="C43" s="9" t="str">
        <f t="shared" si="6"/>
        <v>Translational and applied research: Animal Diseases and Disorders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45">
      <c r="A44" s="55" t="s">
        <v>474</v>
      </c>
      <c r="B44" s="9" t="str">
        <f t="shared" si="4"/>
        <v>Animal Nutrition</v>
      </c>
      <c r="C44" s="9" t="str">
        <f t="shared" si="6"/>
        <v>Translational and applied research: Animal Nutrition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45">
      <c r="A45" s="9" t="s">
        <v>470</v>
      </c>
      <c r="B45" s="9" t="str">
        <f t="shared" si="4"/>
        <v>Animal Welfare</v>
      </c>
      <c r="C45" s="9" t="str">
        <f t="shared" si="6"/>
        <v>Translational and applied research: Animal Welfare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45">
      <c r="A46" s="9" t="s">
        <v>471</v>
      </c>
      <c r="B46" s="9" t="str">
        <f t="shared" si="4"/>
        <v>Diagnosis of Diseases</v>
      </c>
      <c r="C46" s="9" t="str">
        <f t="shared" si="6"/>
        <v>Translational and applied research: Diagnosis of Diseases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45">
      <c r="A47" s="9" t="s">
        <v>472</v>
      </c>
      <c r="B47" s="9" t="str">
        <f t="shared" si="4"/>
        <v>Plant Diseases</v>
      </c>
      <c r="C47" s="9" t="str">
        <f t="shared" si="6"/>
        <v>Translational and applied research: Plant Diseases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45">
      <c r="A48" s="9" t="s">
        <v>473</v>
      </c>
      <c r="B48" s="9" t="str">
        <f t="shared" si="4"/>
        <v>Non-regulatory Toxicology and Ecotoxicology</v>
      </c>
      <c r="C48" s="9" t="str">
        <f t="shared" si="6"/>
        <v>Translational and applied research: Non-regulatory Toxicology and Ecotoxicology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45">
      <c r="A49" s="55" t="s">
        <v>481</v>
      </c>
      <c r="B49" s="9" t="str">
        <f t="shared" si="4"/>
        <v>Quality control (including batch safety and potency testing)</v>
      </c>
      <c r="C49" s="9" t="str">
        <f>CONCATENATE(B$7,": ",B49," [",A49,"]")</f>
        <v>Regulatory use and routine production: Quality control (including batch safety and potency testing)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45">
      <c r="A50" s="9" t="s">
        <v>482</v>
      </c>
      <c r="B50" s="9" t="str">
        <f t="shared" si="4"/>
        <v>Other efficacy and tolerance testing</v>
      </c>
      <c r="C50" s="9" t="str">
        <f t="shared" ref="C50:C52" si="7">CONCATENATE(B$7,": ",B50," [",A50,"]")</f>
        <v>Regulatory use and routine production: Other efficacy and tolerance testing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45">
      <c r="A51" s="55" t="s">
        <v>483</v>
      </c>
      <c r="B51" s="9" t="str">
        <f t="shared" si="4"/>
        <v>Toxicity and other safety testing including pharmacology</v>
      </c>
      <c r="C51" s="9" t="str">
        <f t="shared" si="7"/>
        <v>Regulatory use and routine production: Toxicity and other safety testing including pharmacology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45">
      <c r="A52" s="55" t="s">
        <v>484</v>
      </c>
      <c r="B52" s="9" t="str">
        <f t="shared" si="4"/>
        <v>Routine production by product type</v>
      </c>
      <c r="C52" s="9" t="str">
        <f t="shared" si="7"/>
        <v>Regulatory use and routine production: Routine production by product type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45">
      <c r="A53" s="56" t="s">
        <v>485</v>
      </c>
      <c r="C53" s="9" t="str">
        <f>CONCATENATE(B$8," [",A53,"]")</f>
        <v>Protection of the natural environment in the interests of the health or welfare of human beings or animals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45">
      <c r="A54" s="48" t="s">
        <v>486</v>
      </c>
      <c r="C54" s="9" t="str">
        <f>CONCATENATE(B$9," [",A54,"]")</f>
        <v>Preservation of 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45">
      <c r="A55" s="49" t="s">
        <v>487</v>
      </c>
      <c r="C55" s="9" t="str">
        <f>CONCATENATE(B$10," [",A55,"]")</f>
        <v>Higher education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45">
      <c r="A56" s="49" t="s">
        <v>488</v>
      </c>
      <c r="C56" s="9" t="str">
        <f>CONCATENATE(B$11," [",A56,"]")</f>
        <v>Training for the acquisition, maintenance or improvement of vocational skills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45">
      <c r="A57" s="48" t="s">
        <v>489</v>
      </c>
      <c r="C57" s="9" t="str">
        <f>CONCATENATE(B$12," [",A57,"]")</f>
        <v>Forensic enquiries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45">
      <c r="A58" s="48" t="s">
        <v>490</v>
      </c>
      <c r="C58" s="9" t="str">
        <f>CONCATENATE(B$13," [",A58,"]")</f>
        <v>Maintenance of colonies of established genetically altered animals, not used in other procedures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4.65" thickBot="1" x14ac:dyDescent="0.5">
      <c r="A59" s="48" t="s">
        <v>544</v>
      </c>
      <c r="C59" s="9" t="str">
        <f>CONCATENATE(B$14," [",A59,"]")</f>
        <v>Non-EU Purpose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4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4.65" thickBot="1" x14ac:dyDescent="0.5"/>
    <row r="62" spans="1:28" s="53" customFormat="1" x14ac:dyDescent="0.4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45">
      <c r="A63" s="9">
        <v>1</v>
      </c>
      <c r="B63" s="9" t="str">
        <f>IF(TRIM(HLOOKUP(language_or_default,choiceTranslations,MATCH(A63,choiceCode,0),FALSE))="",HLOOKUP("en",choiceTranslations,MATCH(A63,choiceCode,0),FALSE),HLOOKUP(language_or_default,choiceTranslations,MATCH(A63,choiceCode,0),FALSE))</f>
        <v>yes</v>
      </c>
      <c r="C63" s="9" t="str">
        <f>CONCATENATE(B63," ","[",A63,"]")</f>
        <v>yes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4.65" thickBot="1" x14ac:dyDescent="0.5">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4.65" thickBot="1" x14ac:dyDescent="0.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4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45">
      <c r="A67" s="9" t="s">
        <v>192</v>
      </c>
      <c r="B67" s="52" t="str">
        <f t="shared" ref="B67:B108" si="10">IF(TRIM(HLOOKUP(language_or_default,speciesTranslations,MATCH(A67,speciesCode,0),FALSE))="",HLOOKUP("en",speciesTranslations,MATCH(A67,speciesCode,0),FALSE),HLOOKUP(language_or_default,speciesTranslations,MATCH(A67,speciesCode,0),FALSE))</f>
        <v>Mice</v>
      </c>
      <c r="C67" s="52" t="str">
        <f>CONCATENATE(B67," (",AC67,") ","[",A67,"]")</f>
        <v>Mice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45">
      <c r="A68" s="9" t="s">
        <v>193</v>
      </c>
      <c r="B68" s="52" t="str">
        <f t="shared" si="10"/>
        <v>Rats</v>
      </c>
      <c r="C68" s="52" t="str">
        <f t="shared" ref="C68:C107" si="11">CONCATENATE(B68," (",AC68,") ","[",A68,"]")</f>
        <v>Rats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45">
      <c r="A69" s="9" t="s">
        <v>194</v>
      </c>
      <c r="B69" s="52" t="str">
        <f t="shared" si="10"/>
        <v>Guinea-Pigs</v>
      </c>
      <c r="C69" s="52" t="str">
        <f t="shared" si="11"/>
        <v>Guinea-Pigs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45">
      <c r="A70" s="9" t="s">
        <v>195</v>
      </c>
      <c r="B70" s="52" t="str">
        <f t="shared" si="10"/>
        <v>Hamsters (Syrian)</v>
      </c>
      <c r="C70" s="52" t="str">
        <f t="shared" si="11"/>
        <v>Hamsters (Syrian)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45">
      <c r="A71" s="9" t="s">
        <v>196</v>
      </c>
      <c r="B71" s="52" t="str">
        <f t="shared" si="10"/>
        <v>Hamsters (Chinese)</v>
      </c>
      <c r="C71" s="52" t="str">
        <f t="shared" si="11"/>
        <v>Hamsters (Chinese)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45">
      <c r="A72" s="9" t="s">
        <v>197</v>
      </c>
      <c r="B72" s="52" t="str">
        <f t="shared" si="10"/>
        <v>Mongolian gerbil</v>
      </c>
      <c r="C72" s="52" t="str">
        <f t="shared" si="11"/>
        <v>Mongolian gerbil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45">
      <c r="A73" s="9" t="s">
        <v>198</v>
      </c>
      <c r="B73" s="52" t="str">
        <f t="shared" si="10"/>
        <v>Other rodents</v>
      </c>
      <c r="C73" s="52" t="str">
        <f t="shared" si="11"/>
        <v>Other rodents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45">
      <c r="A74" s="9" t="s">
        <v>199</v>
      </c>
      <c r="B74" s="52" t="str">
        <f t="shared" si="10"/>
        <v>Rabbits</v>
      </c>
      <c r="C74" s="52" t="str">
        <f t="shared" si="11"/>
        <v>Rabbits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45">
      <c r="A75" s="9" t="s">
        <v>200</v>
      </c>
      <c r="B75" s="52" t="str">
        <f t="shared" si="10"/>
        <v>Cats</v>
      </c>
      <c r="C75" s="52" t="str">
        <f t="shared" si="11"/>
        <v>Cats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45">
      <c r="A76" s="9" t="s">
        <v>201</v>
      </c>
      <c r="B76" s="52" t="str">
        <f t="shared" si="10"/>
        <v>Dogs</v>
      </c>
      <c r="C76" s="52" t="str">
        <f t="shared" si="11"/>
        <v>Dogs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45">
      <c r="A77" s="9" t="s">
        <v>202</v>
      </c>
      <c r="B77" s="52" t="str">
        <f t="shared" si="10"/>
        <v>Ferrets</v>
      </c>
      <c r="C77" s="52" t="str">
        <f t="shared" si="11"/>
        <v>Ferrets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45">
      <c r="A78" s="9" t="s">
        <v>203</v>
      </c>
      <c r="B78" s="52" t="str">
        <f t="shared" si="10"/>
        <v>Other carnivores</v>
      </c>
      <c r="C78" s="52" t="str">
        <f t="shared" si="11"/>
        <v>Other carnivores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45">
      <c r="A79" s="9" t="s">
        <v>204</v>
      </c>
      <c r="B79" s="52" t="str">
        <f t="shared" si="10"/>
        <v>Horses, donkeys and cross-breeds</v>
      </c>
      <c r="C79" s="52" t="str">
        <f t="shared" si="11"/>
        <v>Horses, donkeys and cross-breeds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45">
      <c r="A80" s="9" t="s">
        <v>205</v>
      </c>
      <c r="B80" s="52" t="str">
        <f t="shared" si="10"/>
        <v>Pigs</v>
      </c>
      <c r="C80" s="52" t="str">
        <f t="shared" si="11"/>
        <v>Pigs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45">
      <c r="A81" s="9" t="s">
        <v>206</v>
      </c>
      <c r="B81" s="52" t="str">
        <f t="shared" si="10"/>
        <v>Goats</v>
      </c>
      <c r="C81" s="52" t="str">
        <f t="shared" si="11"/>
        <v>Goats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45">
      <c r="A82" s="9" t="s">
        <v>207</v>
      </c>
      <c r="B82" s="52" t="str">
        <f t="shared" si="10"/>
        <v>Sheep</v>
      </c>
      <c r="C82" s="52" t="str">
        <f t="shared" si="11"/>
        <v>Sheep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45">
      <c r="A83" s="9" t="s">
        <v>208</v>
      </c>
      <c r="B83" s="52" t="str">
        <f t="shared" si="10"/>
        <v>Cattle</v>
      </c>
      <c r="C83" s="52" t="str">
        <f t="shared" si="11"/>
        <v>Cattle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45">
      <c r="A84" s="9" t="s">
        <v>209</v>
      </c>
      <c r="B84" s="52" t="str">
        <f t="shared" si="10"/>
        <v>Prosimians</v>
      </c>
      <c r="C84" s="52" t="str">
        <f t="shared" si="11"/>
        <v>Prosimians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45">
      <c r="A85" s="9" t="s">
        <v>210</v>
      </c>
      <c r="B85" s="52" t="str">
        <f t="shared" si="10"/>
        <v>Marmoset and tamarins</v>
      </c>
      <c r="C85" s="52" t="str">
        <f t="shared" si="11"/>
        <v>Marmoset and tamarins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45">
      <c r="A86" s="9" t="s">
        <v>211</v>
      </c>
      <c r="B86" s="52" t="str">
        <f t="shared" si="10"/>
        <v>Cynomolgus monkey</v>
      </c>
      <c r="C86" s="52" t="str">
        <f t="shared" si="11"/>
        <v>Cynomolgus monkey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45">
      <c r="A87" s="9" t="s">
        <v>212</v>
      </c>
      <c r="B87" s="52" t="str">
        <f t="shared" si="10"/>
        <v>Rhesus monkey</v>
      </c>
      <c r="C87" s="52" t="str">
        <f t="shared" si="11"/>
        <v>Rhesus monkey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45">
      <c r="A88" s="9" t="s">
        <v>213</v>
      </c>
      <c r="B88" s="52" t="str">
        <f t="shared" si="10"/>
        <v>Vervets (Chlorocebus spp.)</v>
      </c>
      <c r="C88" s="52" t="str">
        <f t="shared" si="11"/>
        <v>Vervets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45">
      <c r="A89" s="9" t="s">
        <v>214</v>
      </c>
      <c r="B89" s="52" t="str">
        <f t="shared" si="10"/>
        <v>Baboons</v>
      </c>
      <c r="C89" s="52" t="str">
        <f t="shared" si="11"/>
        <v>Baboons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45">
      <c r="A90" s="9" t="s">
        <v>215</v>
      </c>
      <c r="B90" s="52" t="str">
        <f t="shared" si="10"/>
        <v>Squirrel monkey</v>
      </c>
      <c r="C90" s="52" t="str">
        <f t="shared" si="11"/>
        <v>Squirrel monkey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45">
      <c r="A91" s="9" t="s">
        <v>216</v>
      </c>
      <c r="B91" s="52" t="str">
        <f t="shared" si="10"/>
        <v>Other species of Old World monkeys</v>
      </c>
      <c r="C91" s="52" t="str">
        <f t="shared" si="11"/>
        <v>Other species of Old World monkeys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45">
      <c r="A92" s="9" t="s">
        <v>217</v>
      </c>
      <c r="B92" s="52" t="str">
        <f t="shared" si="10"/>
        <v>Other species of New World monkeys</v>
      </c>
      <c r="C92" s="52" t="str">
        <f t="shared" si="11"/>
        <v>Other species of New World monkeys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45">
      <c r="A93" s="9" t="s">
        <v>218</v>
      </c>
      <c r="B93" s="52" t="str">
        <f t="shared" si="10"/>
        <v>Apes</v>
      </c>
      <c r="C93" s="52" t="str">
        <f t="shared" si="11"/>
        <v>Apes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45">
      <c r="A94" s="9" t="s">
        <v>219</v>
      </c>
      <c r="B94" s="52" t="str">
        <f t="shared" si="10"/>
        <v>Other mammals</v>
      </c>
      <c r="C94" s="52" t="str">
        <f t="shared" si="11"/>
        <v>Other mammals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45">
      <c r="A95" s="9" t="s">
        <v>220</v>
      </c>
      <c r="B95" s="52" t="str">
        <f t="shared" si="10"/>
        <v>Domestic fowl</v>
      </c>
      <c r="C95" s="52" t="str">
        <f t="shared" si="11"/>
        <v>Domestic fowl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45">
      <c r="A96" s="55" t="s">
        <v>374</v>
      </c>
      <c r="B96" s="52" t="str">
        <f t="shared" si="10"/>
        <v>Turkey</v>
      </c>
      <c r="C96" s="52" t="str">
        <f t="shared" si="11"/>
        <v>Turkey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45">
      <c r="A97" s="9" t="s">
        <v>221</v>
      </c>
      <c r="B97" s="52" t="str">
        <f t="shared" si="10"/>
        <v>Other birds</v>
      </c>
      <c r="C97" s="52" t="str">
        <f t="shared" si="11"/>
        <v>Other birds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4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45">
      <c r="A99" s="9" t="s">
        <v>223</v>
      </c>
      <c r="B99" s="52" t="str">
        <f t="shared" si="10"/>
        <v>Rana</v>
      </c>
      <c r="C99" s="52" t="str">
        <f t="shared" si="11"/>
        <v>Rana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45">
      <c r="A100" s="9" t="s">
        <v>224</v>
      </c>
      <c r="B100" s="52" t="str">
        <f t="shared" si="10"/>
        <v>Xenopus</v>
      </c>
      <c r="C100" s="52" t="str">
        <f t="shared" si="11"/>
        <v>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45">
      <c r="A101" s="9" t="s">
        <v>225</v>
      </c>
      <c r="B101" s="52" t="str">
        <f t="shared" si="10"/>
        <v>Other amphibians</v>
      </c>
      <c r="C101" s="52" t="str">
        <f t="shared" si="11"/>
        <v>Other amphibians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45">
      <c r="A102" s="9" t="s">
        <v>226</v>
      </c>
      <c r="B102" s="52" t="str">
        <f t="shared" si="10"/>
        <v>Zebra fish</v>
      </c>
      <c r="C102" s="52" t="str">
        <f t="shared" si="11"/>
        <v>Zebra fish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45">
      <c r="A103" s="55" t="s">
        <v>377</v>
      </c>
      <c r="B103" s="52" t="str">
        <f t="shared" si="10"/>
        <v>Sea bass</v>
      </c>
      <c r="C103" s="52" t="str">
        <f t="shared" si="11"/>
        <v>Sea bass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45">
      <c r="A104" s="55" t="s">
        <v>378</v>
      </c>
      <c r="B104" s="52" t="str">
        <f t="shared" si="10"/>
        <v>Salmon, trout, chars and graylings</v>
      </c>
      <c r="C104" s="52" t="str">
        <f t="shared" si="11"/>
        <v>Salmon, trout, chars and graylings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45">
      <c r="A105" s="55" t="s">
        <v>379</v>
      </c>
      <c r="B105" s="52" t="str">
        <f t="shared" si="10"/>
        <v>Guppy, swordtail, molly, platy</v>
      </c>
      <c r="C105" s="52" t="str">
        <f t="shared" si="11"/>
        <v>Guppy, swordtail, molly, platy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45">
      <c r="A106" s="9" t="s">
        <v>227</v>
      </c>
      <c r="B106" s="52" t="str">
        <f t="shared" si="10"/>
        <v>Other fish</v>
      </c>
      <c r="C106" s="52" t="str">
        <f t="shared" si="11"/>
        <v>Other fish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45">
      <c r="A107" s="9" t="s">
        <v>228</v>
      </c>
      <c r="B107" s="52" t="str">
        <f t="shared" si="10"/>
        <v>Cephalopods</v>
      </c>
      <c r="C107" s="52" t="str">
        <f t="shared" si="11"/>
        <v>Cephalopods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4.65" thickBot="1" x14ac:dyDescent="0.5">
      <c r="A108" s="55" t="s">
        <v>229</v>
      </c>
      <c r="B108" s="52" t="str">
        <f t="shared" si="10"/>
        <v>non-specified mammal</v>
      </c>
      <c r="C108" s="52" t="str">
        <f>CONCATENATE(B108," [",A108,"]")</f>
        <v>non-specified mammal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4.65" thickBot="1" x14ac:dyDescent="0.5"/>
    <row r="110" spans="1:29" x14ac:dyDescent="0.4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45">
      <c r="A111" s="9" t="s">
        <v>64</v>
      </c>
      <c r="B111" s="9" t="str">
        <f t="shared" ref="B111:B141" si="13">IF(TRIM(HLOOKUP(language_or_default,textTranslations,MATCH(A111,text,0),FALSE))="",HLOOKUP("en",textTranslations,MATCH(A111,text,0),FALSE),HLOOKUP(language_or_default,textTranslations,MATCH(A111,text,0),FALSE))</f>
        <v>Country</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45">
      <c r="A112" s="9" t="s">
        <v>66</v>
      </c>
      <c r="B112" s="9" t="str">
        <f t="shared" si="13"/>
        <v>Language</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45">
      <c r="A113" s="9" t="s">
        <v>512</v>
      </c>
      <c r="B113" s="9" t="str">
        <f t="shared" si="13"/>
        <v>EU submission</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45">
      <c r="A114" s="13" t="s">
        <v>73</v>
      </c>
      <c r="B114" s="9" t="str">
        <f t="shared" si="13"/>
        <v>Title of the project</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45">
      <c r="A115" s="13" t="s">
        <v>74</v>
      </c>
      <c r="B115" s="9" t="str">
        <f t="shared" si="13"/>
        <v>Duration of the project</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45">
      <c r="A116" s="13" t="s">
        <v>72</v>
      </c>
      <c r="B116" s="9" t="str">
        <f t="shared" si="13"/>
        <v>Keywords</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45">
      <c r="A117" s="13" t="s">
        <v>76</v>
      </c>
      <c r="B117" s="9" t="str">
        <f t="shared" si="13"/>
        <v>Keyword</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45">
      <c r="A118" s="13" t="s">
        <v>78</v>
      </c>
      <c r="B118" s="9" t="str">
        <f t="shared" si="13"/>
        <v>Purpose(s) of the project</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45">
      <c r="A119" s="13" t="s">
        <v>79</v>
      </c>
      <c r="B119" s="9" t="str">
        <f t="shared" si="13"/>
        <v>Basic research</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45">
      <c r="A120" s="13" t="s">
        <v>80</v>
      </c>
      <c r="B120" s="9" t="str">
        <f t="shared" si="13"/>
        <v>Translational and applied research</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45">
      <c r="A121" s="13" t="s">
        <v>81</v>
      </c>
      <c r="B121" s="9" t="str">
        <f t="shared" si="13"/>
        <v>Regulatory use: Quality control (including batch safety and potency testing)</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45">
      <c r="A122" s="13" t="s">
        <v>82</v>
      </c>
      <c r="B122" s="9" t="str">
        <f t="shared" si="13"/>
        <v>Regulatory use: Other efficacy and tolerance testing</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45">
      <c r="A123" s="13" t="s">
        <v>83</v>
      </c>
      <c r="B123" s="9" t="str">
        <f t="shared" si="13"/>
        <v>Regulatory use: Toxicity and other safety testing including pharmacology</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45">
      <c r="A124" s="13" t="s">
        <v>84</v>
      </c>
      <c r="B124" s="9" t="str">
        <f t="shared" si="13"/>
        <v>Routine production</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45">
      <c r="A125" s="13" t="s">
        <v>85</v>
      </c>
      <c r="B125" s="9" t="str">
        <f t="shared" si="13"/>
        <v>Protection of the natural environment in the interests of the health or welfare of human beings or animals</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45">
      <c r="A126" s="13" t="s">
        <v>86</v>
      </c>
      <c r="B126" s="9" t="str">
        <f t="shared" si="13"/>
        <v>Preservation of 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45">
      <c r="A127" s="13" t="s">
        <v>87</v>
      </c>
      <c r="B127" s="9" t="str">
        <f t="shared" si="13"/>
        <v>Higher education</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45">
      <c r="A128" s="13" t="s">
        <v>88</v>
      </c>
      <c r="B128" s="9" t="str">
        <f t="shared" si="13"/>
        <v>Training</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45">
      <c r="A129" s="13" t="s">
        <v>89</v>
      </c>
      <c r="B129" s="9" t="str">
        <f t="shared" si="13"/>
        <v>Forensic enquiries</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45">
      <c r="A130" s="13" t="s">
        <v>90</v>
      </c>
      <c r="B130" s="9" t="str">
        <f t="shared" si="13"/>
        <v>Maintenance of colonies of genetically altered animals, not used in other procedures</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45">
      <c r="A131" s="13" t="s">
        <v>106</v>
      </c>
      <c r="B131" s="9" t="str">
        <f t="shared" si="13"/>
        <v>NON-TECHNICAL PROJECT SUMMARY</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45">
      <c r="A132" s="9" t="s">
        <v>108</v>
      </c>
      <c r="B132" s="9" t="str">
        <f t="shared" si="13"/>
        <v>At least one purpose must be chosen!</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45">
      <c r="A133" s="9" t="s">
        <v>107</v>
      </c>
      <c r="B133" s="9" t="str">
        <f t="shared" si="13"/>
        <v>At least one keyword must be entered!</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45">
      <c r="A134" s="9" t="s">
        <v>109</v>
      </c>
      <c r="B134" s="9" t="str">
        <f t="shared" si="13"/>
        <v>Objectives and predicted benefits of the project</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45">
      <c r="A135" s="9" t="s">
        <v>110</v>
      </c>
      <c r="B135" s="9" t="str">
        <f t="shared" si="13"/>
        <v>Objectives of the project</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45">
      <c r="A136" s="9" t="s">
        <v>112</v>
      </c>
      <c r="B136" s="9" t="str">
        <f t="shared" si="13"/>
        <v>Potential benefits likely to derive from this project</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45">
      <c r="A137" s="9" t="s">
        <v>114</v>
      </c>
      <c r="B137" s="9" t="str">
        <f t="shared" si="13"/>
        <v>Predicted harms</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45">
      <c r="A138" s="9" t="s">
        <v>116</v>
      </c>
      <c r="B138" s="9" t="str">
        <f t="shared" si="13"/>
        <v>In what procedures will the animals typically be used</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45">
      <c r="A139" s="9" t="s">
        <v>118</v>
      </c>
      <c r="B139" s="9" t="str">
        <f t="shared" si="13"/>
        <v>Expected impacts/adverse effects on the animals</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45">
      <c r="A140" s="9" t="s">
        <v>347</v>
      </c>
      <c r="B140" s="9" t="str">
        <f t="shared" si="13"/>
        <v>Expected harms</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45">
      <c r="A141" s="9" t="s">
        <v>119</v>
      </c>
      <c r="B141" s="9" t="str">
        <f t="shared" si="13"/>
        <v>Fate of animals kept alive</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45">
      <c r="A142" s="9" t="s">
        <v>122</v>
      </c>
      <c r="B142" s="9" t="str">
        <f t="shared" ref="B142:B225" si="14">IF(TRIM(HLOOKUP(language_or_default,textTranslations,MATCH(A142,text,0),FALSE))="",HLOOKUP("en",textTranslations,MATCH(A142,text,0),FALSE),HLOOKUP(language_or_default,textTranslations,MATCH(A142,text,0),FALSE))</f>
        <v>Reasons for the planned fate of the animals after the procedure</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45">
      <c r="A143" s="9" t="s">
        <v>124</v>
      </c>
      <c r="B143" s="9" t="str">
        <f t="shared" si="14"/>
        <v>Application of the Three Rs</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45">
      <c r="A144" s="9" t="s">
        <v>126</v>
      </c>
      <c r="B144" s="9" t="str">
        <f t="shared" si="14"/>
        <v>1. Replacement</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45">
      <c r="A145" s="9" t="s">
        <v>128</v>
      </c>
      <c r="B145" s="9" t="str">
        <f t="shared" si="14"/>
        <v>2. Reduction</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45">
      <c r="A146" s="9" t="s">
        <v>130</v>
      </c>
      <c r="B146" s="9" t="str">
        <f t="shared" si="14"/>
        <v>3. Refinement</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45">
      <c r="A147" s="9" t="s">
        <v>132</v>
      </c>
      <c r="B147" s="9" t="str">
        <f t="shared" si="14"/>
        <v>Explain the choice of species and the related life stages</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45">
      <c r="A148" s="9" t="s">
        <v>134</v>
      </c>
      <c r="B148" s="9" t="str">
        <f t="shared" si="14"/>
        <v>Project selected for Retrospective Assessment</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45">
      <c r="A149" s="9" t="s">
        <v>135</v>
      </c>
      <c r="B149" s="9" t="str">
        <f t="shared" si="14"/>
        <v>Project selected for RA?</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45">
      <c r="A150" s="9" t="s">
        <v>138</v>
      </c>
      <c r="B150" s="9" t="str">
        <f t="shared" si="14"/>
        <v>Deadline for RA</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45">
      <c r="A151" s="9" t="s">
        <v>140</v>
      </c>
      <c r="B151" s="9" t="str">
        <f t="shared" si="14"/>
        <v>Reasons for retrospective assessment</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45">
      <c r="A152" s="27" t="s">
        <v>141</v>
      </c>
      <c r="B152" s="9" t="str">
        <f t="shared" si="14"/>
        <v>Contains severe procedures</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45">
      <c r="A153" s="27" t="s">
        <v>142</v>
      </c>
      <c r="B153" s="9" t="str">
        <f t="shared" si="14"/>
        <v>Uses non-human primates</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45">
      <c r="A154" s="27" t="s">
        <v>143</v>
      </c>
      <c r="B154" s="9" t="str">
        <f t="shared" si="14"/>
        <v>Other reason</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45">
      <c r="A155" s="27" t="s">
        <v>144</v>
      </c>
      <c r="B155" s="9" t="str">
        <f t="shared" si="14"/>
        <v>Explanation of the other reason for retrospective assessment</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45">
      <c r="A156" s="9" t="s">
        <v>149</v>
      </c>
      <c r="B156" s="9" t="str">
        <f t="shared" si="14"/>
        <v>At least one reason must be chosen!</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45">
      <c r="A157" s="27" t="s">
        <v>150</v>
      </c>
      <c r="B157" s="9" t="str">
        <f t="shared" si="14"/>
        <v>Inconsistent value!</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45">
      <c r="A158" s="27" t="s">
        <v>364</v>
      </c>
      <c r="B158" s="9" t="str">
        <f t="shared" si="14"/>
        <v>NTS national identifier</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45">
      <c r="A159" s="27" t="s">
        <v>175</v>
      </c>
      <c r="B159" s="9" t="str">
        <f t="shared" ref="B159:B184" si="15">IF(TRIM(HLOOKUP(language_or_default,textTranslations,MATCH(A159,text,0),FALSE))="",HLOOKUP("en",textTranslations,MATCH(A159,text,0),FALSE),HLOOKUP(language_or_default,textTranslations,MATCH(A159,text,0),FALSE))</f>
        <v>Not applicable for selected country!</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45">
      <c r="A160" s="27" t="s">
        <v>177</v>
      </c>
      <c r="B160" s="9" t="str">
        <f t="shared" si="15"/>
        <v>To be filled-in by competent authority!</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45">
      <c r="A161" s="27" t="s">
        <v>303</v>
      </c>
      <c r="B161" s="9" t="str">
        <f t="shared" si="15"/>
        <v>Total number must be higher than 0!</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45">
      <c r="A162" s="27" t="s">
        <v>304</v>
      </c>
      <c r="B162" s="9" t="str">
        <f t="shared" si="15"/>
        <v>Species must be selected!</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45">
      <c r="A163" s="27" t="s">
        <v>308</v>
      </c>
      <c r="B163" s="9" t="str">
        <f t="shared" si="15"/>
        <v>At least 1 row!</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45">
      <c r="A164" s="27" t="s">
        <v>309</v>
      </c>
      <c r="B164" s="9" t="str">
        <f t="shared" si="15"/>
        <v>Species</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45">
      <c r="A165" s="27" t="s">
        <v>310</v>
      </c>
      <c r="B165" s="9" t="str">
        <f t="shared" si="15"/>
        <v>Non-recovery</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45">
      <c r="A166" s="27" t="s">
        <v>311</v>
      </c>
      <c r="B166" s="9" t="str">
        <f t="shared" si="15"/>
        <v>Mild</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45">
      <c r="A167" s="27" t="s">
        <v>312</v>
      </c>
      <c r="B167" s="9" t="str">
        <f t="shared" si="15"/>
        <v>Moderate</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45">
      <c r="A168" s="27" t="s">
        <v>313</v>
      </c>
      <c r="B168" s="9" t="str">
        <f t="shared" si="15"/>
        <v>Severe</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45">
      <c r="A169" s="27" t="s">
        <v>314</v>
      </c>
      <c r="B169" s="9" t="str">
        <f t="shared" si="15"/>
        <v>Total number</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45">
      <c r="A170" s="27" t="s">
        <v>318</v>
      </c>
      <c r="B170" s="9" t="str">
        <f t="shared" si="15"/>
        <v>Reused</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45">
      <c r="A171" s="27" t="s">
        <v>319</v>
      </c>
      <c r="B171" s="9" t="str">
        <f t="shared" si="15"/>
        <v>Returned</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45">
      <c r="A172" s="27" t="s">
        <v>320</v>
      </c>
      <c r="B172" s="9" t="str">
        <f t="shared" si="15"/>
        <v>Rehomed</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45">
      <c r="A173" s="27" t="s">
        <v>324</v>
      </c>
      <c r="B173" s="9" t="str">
        <f t="shared" si="15"/>
        <v>Describe the objectives of the project (for example, addressing certain scientific unknowns, or scientific or clinical needs).</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45">
      <c r="A174" s="27" t="s">
        <v>326</v>
      </c>
      <c r="B174" s="9" t="str">
        <f t="shared" si="15"/>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45">
      <c r="A175" s="27" t="s">
        <v>328</v>
      </c>
      <c r="B175" s="9" t="str">
        <f t="shared" si="15"/>
        <v>In what procedures will the animals typically be used (for example, injections, surgical procedures)? Indicate the number and duration of these procedures.</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45">
      <c r="A176" s="27" t="s">
        <v>330</v>
      </c>
      <c r="B176" s="9" t="str">
        <f t="shared" si="15"/>
        <v>What are the expected impacts/adverse effects on the animals, for example pain, weight loss, inactivity/reduced mobility, stress, abnormal behaviour, and the duration of those effects?</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45">
      <c r="A177" s="27" t="s">
        <v>349</v>
      </c>
      <c r="B177" s="9" t="str">
        <f t="shared" si="15"/>
        <v>What species and numbers of animals are expected to be used? What are the expected severities and the numbers of animals in each severity category (per species)?</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45">
      <c r="A178" s="27" t="s">
        <v>333</v>
      </c>
      <c r="B178" s="9" t="str">
        <f t="shared" si="15"/>
        <v>What will happen to the animals kept alive at the end of the procedure?</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45">
      <c r="A179" s="27" t="s">
        <v>335</v>
      </c>
      <c r="B179" s="9" t="str">
        <f t="shared" si="15"/>
        <v>Please provide reasons for the planned fate of the animals after the procedure.</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45">
      <c r="A180" s="27" t="s">
        <v>337</v>
      </c>
      <c r="B180" s="9" t="str">
        <f t="shared" si="15"/>
        <v>State which non-animal alternatives are available in this field and why they cannot be used for the purposes of the project.</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45">
      <c r="A181" s="27" t="s">
        <v>339</v>
      </c>
      <c r="B181" s="9" t="str">
        <f t="shared" si="15"/>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45">
      <c r="A182" s="27" t="s">
        <v>341</v>
      </c>
      <c r="B182" s="9" t="str">
        <f t="shared" si="15"/>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45">
      <c r="A183" s="27" t="s">
        <v>343</v>
      </c>
      <c r="B183" s="9" t="str">
        <f t="shared" si="15"/>
        <v>Estimated numbers per severity</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45">
      <c r="A184" s="27" t="s">
        <v>346</v>
      </c>
      <c r="B184" s="9" t="str">
        <f t="shared" si="15"/>
        <v>Estimated numbers of animals to be reused, to be returned to habitat/husbandry system or to be rehomed</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45">
      <c r="A185" s="27" t="s">
        <v>350</v>
      </c>
      <c r="B185" s="9" t="str">
        <f t="shared" si="14"/>
        <v>Compulsory!</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45">
      <c r="A186" s="27" t="s">
        <v>499</v>
      </c>
      <c r="B186" s="9" t="str">
        <f t="shared" si="14"/>
        <v>Applicable to those MS where this information is required by the legislation.</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45">
      <c r="A187" s="27" t="s">
        <v>351</v>
      </c>
      <c r="B187" s="9" t="str">
        <f t="shared" si="14"/>
        <v>Maximum length is 100 characters.</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45">
      <c r="A188" s="27" t="s">
        <v>360</v>
      </c>
      <c r="B188" s="9" t="str">
        <f t="shared" si="14"/>
        <v>Project duration expressed in months.</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45">
      <c r="A189" s="27" t="s">
        <v>361</v>
      </c>
      <c r="B189" s="9" t="str">
        <f t="shared" si="14"/>
        <v>Must be a whole number between 1 and 60!</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45">
      <c r="A190" s="27" t="s">
        <v>353</v>
      </c>
      <c r="B190" s="9" t="str">
        <f t="shared" si="14"/>
        <v>Maximum length is 50 characters including spaces.</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45">
      <c r="A191" s="27" t="s">
        <v>356</v>
      </c>
      <c r="B191" s="9" t="str">
        <f t="shared" si="14"/>
        <v>Maximum length is 2500 characters.</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45">
      <c r="A192" s="27" t="s">
        <v>358</v>
      </c>
      <c r="B192" s="9" t="str">
        <f t="shared" si="14"/>
        <v>Maximum length is 500 characters.</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45">
      <c r="A193" s="27" t="s">
        <v>365</v>
      </c>
      <c r="B193" s="9" t="str">
        <f t="shared" si="14"/>
        <v>National identifier of the NTS.</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45">
      <c r="A194" s="27" t="s">
        <v>366</v>
      </c>
      <c r="B194" s="9" t="str">
        <f t="shared" si="14"/>
        <v>Please fill-in 'Expected harms' sheet. At least one row must be filled-in!</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45">
      <c r="A195" s="27" t="s">
        <v>368</v>
      </c>
      <c r="B195" s="9" t="str">
        <f t="shared" si="14"/>
        <v xml:space="preserve">Please fill-in 'Fate of animals kept alive' sheet if applicable. </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45">
      <c r="A196" s="27" t="s">
        <v>370</v>
      </c>
      <c r="B196" s="9" t="str">
        <f t="shared" si="14"/>
        <v>Format is dd-mm-yyyy or dd/mm/yyyy depending on your system settings (e.g. 27-05-2022 or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45">
      <c r="A197" s="27" t="s">
        <v>386</v>
      </c>
      <c r="B197" s="9" t="str">
        <f t="shared" si="14"/>
        <v>Additional fields</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45">
      <c r="A198" s="27" t="s">
        <v>388</v>
      </c>
      <c r="B198" s="9" t="str">
        <f t="shared" si="14"/>
        <v>Whether the particular field is applicable or not, depends on national rules.</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45">
      <c r="A199" s="27" t="s">
        <v>389</v>
      </c>
      <c r="B199" s="9" t="str">
        <f t="shared" si="14"/>
        <v>Project start date</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45">
      <c r="A200" s="27" t="s">
        <v>395</v>
      </c>
      <c r="B200" s="9" t="str">
        <f t="shared" ref="B200" si="16">IF(TRIM(HLOOKUP(language_or_default,textTranslations,MATCH(A200,text,0),FALSE))="",HLOOKUP("en",textTranslations,MATCH(A200,text,0),FALSE),HLOOKUP(language_or_default,textTranslations,MATCH(A200,text,0),FALSE))</f>
        <v>Project end date</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45">
      <c r="A201" s="27" t="s">
        <v>399</v>
      </c>
      <c r="B201" s="9" t="str">
        <f t="shared" si="14"/>
        <v>Project approval date</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45">
      <c r="A202" s="27" t="s">
        <v>401</v>
      </c>
      <c r="B202" s="9" t="str">
        <f t="shared" si="14"/>
        <v>ICD code</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45">
      <c r="A203" s="27" t="s">
        <v>494</v>
      </c>
      <c r="B203" s="9" t="str">
        <f t="shared" si="14"/>
        <v>National field 1</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45">
      <c r="A204" s="27" t="s">
        <v>495</v>
      </c>
      <c r="B204" s="9" t="str">
        <f t="shared" si="14"/>
        <v>National field 2</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45">
      <c r="A205" s="27" t="s">
        <v>496</v>
      </c>
      <c r="B205" s="9" t="str">
        <f t="shared" si="14"/>
        <v>National field 3</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45">
      <c r="A206" s="27" t="s">
        <v>503</v>
      </c>
      <c r="B206" s="9" t="str">
        <f t="shared" si="14"/>
        <v>National field 4</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45">
      <c r="A207" s="27" t="s">
        <v>504</v>
      </c>
      <c r="B207" s="9" t="str">
        <f t="shared" si="14"/>
        <v>National field 5</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45">
      <c r="A208" s="27" t="s">
        <v>493</v>
      </c>
      <c r="B208" s="9" t="str">
        <f t="shared" ref="B208" si="17">IF(TRIM(HLOOKUP(language_or_default,textTranslations,MATCH(A208,text,0),FALSE))="",HLOOKUP("en",textTranslations,MATCH(A208,text,0),FALSE),HLOOKUP(language_or_default,textTranslations,MATCH(A208,text,0),FALSE))</f>
        <v>Please fill-in 'Purpose of the project' sheet.</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45">
      <c r="A209" s="27" t="s">
        <v>498</v>
      </c>
      <c r="B209" s="9" t="str">
        <f t="shared" si="14"/>
        <v>(in months)</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45">
      <c r="A210" s="27" t="s">
        <v>501</v>
      </c>
      <c r="B210" s="9" t="str">
        <f t="shared" si="14"/>
        <v>May consist of more than one word.</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45">
      <c r="A211" s="27" t="s">
        <v>505</v>
      </c>
      <c r="B211" s="9" t="str">
        <f t="shared" si="14"/>
        <v>Please fill-in all categories with whole numbers (0 or higher)!</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45">
      <c r="A212" s="27" t="s">
        <v>513</v>
      </c>
      <c r="B212" s="9" t="str">
        <f t="shared" si="14"/>
        <v>Indicate if project is falling inside the scope of the Directive or not.</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45">
      <c r="A213" s="27" t="s">
        <v>530</v>
      </c>
      <c r="B213" s="9" t="str">
        <f t="shared" ref="B213:B224" si="18">IF(TRIM(HLOOKUP(language_or_default,textTranslations,MATCH(A213,text,0),FALSE))="",HLOOKUP("en",textTranslations,MATCH(A213,text,0),FALSE),HLOOKUP(language_or_default,textTranslations,MATCH(A213,text,0),FALSE))</f>
        <v>International Classification of Diseases (ICD) code.</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45">
      <c r="A214" s="27" t="s">
        <v>529</v>
      </c>
      <c r="B214" s="9" t="str">
        <f t="shared" si="18"/>
        <v>Up to a precision of a 4 character code.</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45">
      <c r="A215" s="27" t="s">
        <v>533</v>
      </c>
      <c r="B215" s="9" t="str">
        <f t="shared" si="18"/>
        <v>Link to the previous NTS version outside the EC system</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45">
      <c r="A216" s="27" t="s">
        <v>534</v>
      </c>
      <c r="B216" s="9" t="str">
        <f t="shared" ref="B216:B218" si="19">IF(TRIM(HLOOKUP(language_or_default,textTranslations,MATCH(A216,text,0),FALSE))="",HLOOKUP("en",textTranslations,MATCH(A216,text,0),FALSE),HLOOKUP(language_or_default,textTranslations,MATCH(A216,text,0),FALSE))</f>
        <v>To be used in transition period where the previous version of the NTS might not exist in the EC system.</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45">
      <c r="A217" s="27" t="s">
        <v>539</v>
      </c>
      <c r="B217" s="9" t="str">
        <f t="shared" si="19"/>
        <v>NTS identifier</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45">
      <c r="A218" s="27" t="s">
        <v>541</v>
      </c>
      <c r="B218" s="9" t="str">
        <f t="shared" si="19"/>
        <v>Unique NTS identifier assigned by the central EC system.</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45">
      <c r="A219" s="27" t="s">
        <v>542</v>
      </c>
      <c r="B219" s="9" t="str">
        <f t="shared" si="18"/>
        <v>To be filled-in only when updating NTS already stored in the EC system.</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45">
      <c r="A220" s="27" t="s">
        <v>547</v>
      </c>
      <c r="B220" s="9" t="str">
        <f t="shared" si="18"/>
        <v>MS custom severity</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45">
      <c r="A221" s="27" t="s">
        <v>553</v>
      </c>
      <c r="B221" s="9" t="str">
        <f t="shared" si="18"/>
        <v>Field will not be published.</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4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4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4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4.65" thickBot="1" x14ac:dyDescent="0.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RowHeight="14.25" x14ac:dyDescent="0.45"/>
  <cols>
    <col min="1" max="1" width="22.796875" style="3" customWidth="1"/>
    <col min="2" max="2" width="26.265625" style="3" customWidth="1"/>
    <col min="3" max="3" width="35.19921875" style="3" customWidth="1"/>
    <col min="4" max="4" width="24.796875" style="9" customWidth="1"/>
    <col min="5" max="16384" width="9.06640625" style="9"/>
  </cols>
  <sheetData>
    <row r="1" spans="1:31" ht="14.65" thickBot="1" x14ac:dyDescent="0.5"/>
    <row r="2" spans="1:31" ht="14.65" thickBot="1" x14ac:dyDescent="0.5">
      <c r="A2" s="27" t="s">
        <v>12</v>
      </c>
      <c r="B2" s="95" t="str">
        <f>IF(language="","en",language)</f>
        <v>en</v>
      </c>
    </row>
    <row r="3" spans="1:31" ht="14.65" thickBot="1" x14ac:dyDescent="0.5">
      <c r="A3" s="27" t="s">
        <v>15</v>
      </c>
      <c r="B3" s="96" t="str">
        <f>yes</f>
        <v>yes [1]</v>
      </c>
      <c r="C3" s="97" t="str">
        <f>no</f>
        <v>no [0]</v>
      </c>
    </row>
    <row r="4" spans="1:31" ht="14.65" thickBot="1" x14ac:dyDescent="0.5">
      <c r="A4" s="27" t="s">
        <v>14</v>
      </c>
      <c r="B4" s="96" t="str">
        <f>yes</f>
        <v>yes [1]</v>
      </c>
      <c r="C4" s="98" t="s">
        <v>6</v>
      </c>
    </row>
    <row r="5" spans="1:31" ht="14.65" thickBot="1" x14ac:dyDescent="0.5">
      <c r="A5" s="27" t="s">
        <v>391</v>
      </c>
      <c r="B5" s="95">
        <v>1</v>
      </c>
      <c r="C5" s="99"/>
    </row>
    <row r="6" spans="1:31" ht="14.65" thickBot="1" x14ac:dyDescent="0.5">
      <c r="A6" s="27" t="s">
        <v>174</v>
      </c>
      <c r="B6" s="95" t="str">
        <f>IF(NTS!B2="","",IF(VLOOKUP(NTS!B2,A11:B38,2)="yes","*",""))</f>
        <v/>
      </c>
      <c r="C6" s="99"/>
    </row>
    <row r="7" spans="1:31" ht="14.65" thickBot="1" x14ac:dyDescent="0.5">
      <c r="A7" s="27" t="s">
        <v>393</v>
      </c>
      <c r="B7" s="95" t="str">
        <f>IF(NTS!B2="","",IF(VLOOKUP(NTS!B2,A11:C38,3)="yes","*",""))</f>
        <v/>
      </c>
      <c r="C7" s="99"/>
    </row>
    <row r="8" spans="1:31" ht="14.65" thickBot="1" x14ac:dyDescent="0.5">
      <c r="A8" s="27" t="s">
        <v>398</v>
      </c>
      <c r="B8" s="95" t="str">
        <f>IF(NTS!B2="","",IF(VLOOKUP(NTS!B2,A11:D38,4)="yes","*",""))</f>
        <v/>
      </c>
      <c r="C8" s="99"/>
    </row>
    <row r="9" spans="1:31" x14ac:dyDescent="0.45">
      <c r="A9" s="5"/>
      <c r="B9" s="100"/>
      <c r="C9" s="99"/>
    </row>
    <row r="10" spans="1:31" ht="14.65" thickBot="1" x14ac:dyDescent="0.5">
      <c r="A10" s="27" t="s">
        <v>172</v>
      </c>
      <c r="B10" s="100" t="s">
        <v>173</v>
      </c>
      <c r="C10" s="99" t="s">
        <v>392</v>
      </c>
      <c r="D10" s="9" t="s">
        <v>397</v>
      </c>
    </row>
    <row r="11" spans="1:31" x14ac:dyDescent="0.45">
      <c r="A11" s="53" t="s">
        <v>35</v>
      </c>
      <c r="B11" s="101" t="s">
        <v>4</v>
      </c>
      <c r="C11" s="102"/>
      <c r="D11" s="103"/>
    </row>
    <row r="12" spans="1:31" x14ac:dyDescent="0.45">
      <c r="A12" s="53" t="s">
        <v>36</v>
      </c>
      <c r="B12" s="104" t="s">
        <v>4</v>
      </c>
      <c r="C12" s="99"/>
      <c r="D12" s="87"/>
    </row>
    <row r="13" spans="1:31" x14ac:dyDescent="0.45">
      <c r="A13" s="53" t="s">
        <v>37</v>
      </c>
      <c r="B13" s="104" t="s">
        <v>4</v>
      </c>
      <c r="C13" s="99"/>
      <c r="D13" s="87"/>
    </row>
    <row r="14" spans="1:31" x14ac:dyDescent="0.45">
      <c r="A14" s="53" t="s">
        <v>38</v>
      </c>
      <c r="B14" s="104" t="s">
        <v>4</v>
      </c>
      <c r="C14" s="99"/>
      <c r="D14" s="87"/>
    </row>
    <row r="15" spans="1:31" x14ac:dyDescent="0.4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45">
      <c r="A16" s="53" t="s">
        <v>40</v>
      </c>
      <c r="B16" s="104"/>
      <c r="C16" s="100"/>
      <c r="D16" s="87"/>
    </row>
    <row r="17" spans="1:4" x14ac:dyDescent="0.45">
      <c r="A17" s="53" t="s">
        <v>41</v>
      </c>
      <c r="B17" s="104" t="s">
        <v>4</v>
      </c>
      <c r="C17" s="100"/>
      <c r="D17" s="87"/>
    </row>
    <row r="18" spans="1:4" x14ac:dyDescent="0.45">
      <c r="A18" s="53" t="s">
        <v>42</v>
      </c>
      <c r="B18" s="104"/>
      <c r="C18" s="100"/>
      <c r="D18" s="87"/>
    </row>
    <row r="19" spans="1:4" x14ac:dyDescent="0.45">
      <c r="A19" s="53" t="s">
        <v>43</v>
      </c>
      <c r="B19" s="104" t="s">
        <v>4</v>
      </c>
      <c r="C19" s="100"/>
      <c r="D19" s="87"/>
    </row>
    <row r="20" spans="1:4" x14ac:dyDescent="0.45">
      <c r="A20" s="53" t="s">
        <v>44</v>
      </c>
      <c r="B20" s="104"/>
      <c r="C20" s="100"/>
      <c r="D20" s="87"/>
    </row>
    <row r="21" spans="1:4" x14ac:dyDescent="0.45">
      <c r="A21" s="53" t="s">
        <v>45</v>
      </c>
      <c r="B21" s="104" t="s">
        <v>4</v>
      </c>
      <c r="C21" s="100"/>
      <c r="D21" s="87"/>
    </row>
    <row r="22" spans="1:4" x14ac:dyDescent="0.45">
      <c r="A22" s="53" t="s">
        <v>46</v>
      </c>
      <c r="B22" s="104"/>
      <c r="C22" s="100"/>
      <c r="D22" s="87"/>
    </row>
    <row r="23" spans="1:4" x14ac:dyDescent="0.45">
      <c r="A23" s="53" t="s">
        <v>47</v>
      </c>
      <c r="B23" s="104" t="s">
        <v>4</v>
      </c>
      <c r="C23" s="100"/>
      <c r="D23" s="87"/>
    </row>
    <row r="24" spans="1:4" x14ac:dyDescent="0.45">
      <c r="A24" s="53" t="s">
        <v>48</v>
      </c>
      <c r="B24" s="104"/>
      <c r="C24" s="100"/>
      <c r="D24" s="87"/>
    </row>
    <row r="25" spans="1:4" x14ac:dyDescent="0.45">
      <c r="A25" s="53" t="s">
        <v>49</v>
      </c>
      <c r="B25" s="104"/>
      <c r="C25" s="100"/>
      <c r="D25" s="87"/>
    </row>
    <row r="26" spans="1:4" x14ac:dyDescent="0.45">
      <c r="A26" s="53" t="s">
        <v>50</v>
      </c>
      <c r="B26" s="104"/>
      <c r="C26" s="100"/>
      <c r="D26" s="87"/>
    </row>
    <row r="27" spans="1:4" x14ac:dyDescent="0.45">
      <c r="A27" s="53" t="s">
        <v>51</v>
      </c>
      <c r="B27" s="104" t="s">
        <v>4</v>
      </c>
      <c r="C27" s="100"/>
      <c r="D27" s="87"/>
    </row>
    <row r="28" spans="1:4" x14ac:dyDescent="0.45">
      <c r="A28" s="53" t="s">
        <v>52</v>
      </c>
      <c r="B28" s="104"/>
      <c r="C28" s="100"/>
      <c r="D28" s="87"/>
    </row>
    <row r="29" spans="1:4" x14ac:dyDescent="0.45">
      <c r="A29" s="53" t="s">
        <v>53</v>
      </c>
      <c r="B29" s="104"/>
      <c r="C29" s="100"/>
      <c r="D29" s="87"/>
    </row>
    <row r="30" spans="1:4" x14ac:dyDescent="0.45">
      <c r="A30" s="53" t="s">
        <v>54</v>
      </c>
      <c r="B30" s="104" t="s">
        <v>4</v>
      </c>
      <c r="C30" s="100"/>
      <c r="D30" s="87"/>
    </row>
    <row r="31" spans="1:4" x14ac:dyDescent="0.45">
      <c r="A31" s="53" t="s">
        <v>55</v>
      </c>
      <c r="B31" s="104" t="s">
        <v>4</v>
      </c>
      <c r="C31" s="100"/>
      <c r="D31" s="87"/>
    </row>
    <row r="32" spans="1:4" x14ac:dyDescent="0.45">
      <c r="A32" s="53" t="s">
        <v>56</v>
      </c>
      <c r="B32" s="104" t="s">
        <v>4</v>
      </c>
      <c r="C32" s="100"/>
      <c r="D32" s="87"/>
    </row>
    <row r="33" spans="1:4" x14ac:dyDescent="0.45">
      <c r="A33" s="53" t="s">
        <v>57</v>
      </c>
      <c r="B33" s="104" t="s">
        <v>4</v>
      </c>
      <c r="C33" s="100"/>
      <c r="D33" s="87"/>
    </row>
    <row r="34" spans="1:4" x14ac:dyDescent="0.45">
      <c r="A34" s="53" t="s">
        <v>58</v>
      </c>
      <c r="B34" s="104" t="s">
        <v>4</v>
      </c>
      <c r="C34" s="100"/>
      <c r="D34" s="87"/>
    </row>
    <row r="35" spans="1:4" x14ac:dyDescent="0.45">
      <c r="A35" s="53" t="s">
        <v>59</v>
      </c>
      <c r="B35" s="104" t="s">
        <v>4</v>
      </c>
      <c r="C35" s="100"/>
      <c r="D35" s="87"/>
    </row>
    <row r="36" spans="1:4" x14ac:dyDescent="0.45">
      <c r="A36" s="53" t="s">
        <v>60</v>
      </c>
      <c r="B36" s="104" t="s">
        <v>4</v>
      </c>
      <c r="C36" s="100"/>
      <c r="D36" s="87"/>
    </row>
    <row r="37" spans="1:4" x14ac:dyDescent="0.45">
      <c r="A37" s="53" t="s">
        <v>61</v>
      </c>
      <c r="B37" s="104" t="s">
        <v>4</v>
      </c>
      <c r="C37" s="100"/>
      <c r="D37" s="87"/>
    </row>
    <row r="38" spans="1:4" ht="14.65" thickBot="1" x14ac:dyDescent="0.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MARIJANCIC Darko (ENV-EXT)</cp:lastModifiedBy>
  <dcterms:created xsi:type="dcterms:W3CDTF">2020-03-26T19:58:53Z</dcterms:created>
  <dcterms:modified xsi:type="dcterms:W3CDTF">2021-03-02T11:26:42Z</dcterms:modified>
</cp:coreProperties>
</file>